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total!$A$1:$G$8</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9" i="23"/>
  <c r="C4" i="23"/>
  <c r="D4" i="23"/>
  <c r="E4"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21" l="1"/>
  <c r="E3" i="19"/>
  <c r="E3" i="15"/>
  <c r="H22" i="13"/>
  <c r="H23" i="13" s="1"/>
  <c r="E3" i="10"/>
  <c r="H22" i="5"/>
  <c r="H23" i="5" s="1"/>
  <c r="H22" i="4"/>
  <c r="H23" i="4" s="1"/>
  <c r="E3" i="11"/>
  <c r="H22" i="7"/>
  <c r="H23" i="7" s="1"/>
  <c r="E3" i="7"/>
  <c r="H22" i="17"/>
  <c r="H23" i="17" s="1"/>
  <c r="E3" i="17"/>
  <c r="E3" i="1"/>
  <c r="F3" i="23" s="1"/>
  <c r="G3" i="23" s="1"/>
  <c r="H22" i="1"/>
  <c r="H23" i="1" s="1"/>
  <c r="F11" i="23" l="1"/>
  <c r="F7" i="23"/>
</calcChain>
</file>

<file path=xl/sharedStrings.xml><?xml version="1.0" encoding="utf-8"?>
<sst xmlns="http://schemas.openxmlformats.org/spreadsheetml/2006/main" count="975" uniqueCount="215">
  <si>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</si>
  <si>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</si>
  <si>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</si>
  <si>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</si>
  <si>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</si>
  <si>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</si>
  <si>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</si>
  <si>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</si>
  <si>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</si>
  <si>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</si>
  <si>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</si>
  <si>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</si>
  <si>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</si>
  <si>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</si>
  <si>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</si>
  <si>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</si>
  <si>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</si>
  <si>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</si>
  <si>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</si>
  <si>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</si>
  <si>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</si>
  <si>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</si>
  <si>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</si>
  <si>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</si>
  <si>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</si>
  <si>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</si>
  <si>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</si>
  <si>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</si>
  <si>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</si>
  <si>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</si>
  <si>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</si>
  <si>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</si>
  <si>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</si>
  <si>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</si>
  <si>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</si>
  <si>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</si>
  <si>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</si>
  <si>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</si>
  <si>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</si>
  <si>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</si>
  <si>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</si>
  <si>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</si>
  <si>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</si>
  <si>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</si>
  <si>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</si>
  <si>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</si>
  <si>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</si>
  <si>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</si>
  <si>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</si>
  <si>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</si>
  <si>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</si>
  <si>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</si>
  <si>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</si>
  <si>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</si>
  <si>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</si>
  <si>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</si>
  <si>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</si>
  <si>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</si>
  <si>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</si>
  <si>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</si>
  <si>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</si>
  <si>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</si>
  <si>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</si>
  <si>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</si>
  <si>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</si>
  <si>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</si>
  <si>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</si>
  <si>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</si>
  <si>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</si>
  <si>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</si>
  <si>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</si>
  <si>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</si>
  <si>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</si>
  <si>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</si>
  <si>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</si>
  <si>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</si>
  <si>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</si>
  <si>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</si>
  <si>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</si>
  <si>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</si>
  <si>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</si>
  <si>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</si>
  <si>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</si>
  <si>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</si>
  <si>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</si>
  <si>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</si>
  <si>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</si>
  <si>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</si>
  <si>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</si>
  <si>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</si>
  <si>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</si>
  <si>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</si>
  <si>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</si>
  <si>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</si>
  <si>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</si>
  <si>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</si>
  <si>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</si>
  <si>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</si>
  <si>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</si>
  <si>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</si>
  <si>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</si>
  <si>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</si>
  <si>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</si>
  <si>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</si>
  <si>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</si>
  <si>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</si>
  <si>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</si>
  <si>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</si>
  <si>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</si>
  <si>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</si>
  <si>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</si>
  <si>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</si>
  <si>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</si>
  <si>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</si>
  <si>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</si>
  <si>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</si>
  <si>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</si>
  <si>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</si>
  <si>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</si>
  <si>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</si>
  <si>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</si>
  <si>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</si>
  <si>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</si>
  <si>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</si>
  <si>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</si>
  <si>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</si>
  <si>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</si>
  <si>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</si>
  <si>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</si>
  <si>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</si>
  <si>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</si>
  <si>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</si>
  <si>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</si>
  <si>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</si>
  <si>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</si>
  <si>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</si>
  <si>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</si>
  <si>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</si>
  <si>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</si>
  <si>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</si>
  <si>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</si>
  <si>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</si>
  <si>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</si>
  <si>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</si>
  <si>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</si>
  <si>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</si>
  <si>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</si>
  <si>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</si>
  <si>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</si>
  <si>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</si>
  <si>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</si>
  <si>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</si>
  <si>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</si>
  <si>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</si>
  <si>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</si>
  <si>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</si>
  <si>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</si>
  <si>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</si>
  <si>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</si>
  <si>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</si>
  <si>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</si>
  <si>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</si>
  <si>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</si>
  <si>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</si>
  <si>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</si>
  <si>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</si>
  <si>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</si>
  <si>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</si>
  <si>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</si>
  <si>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</si>
  <si>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</si>
  <si>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</si>
  <si>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</si>
  <si>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</si>
  <si>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</si>
  <si>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</si>
  <si>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</si>
  <si>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</si>
  <si>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</si>
  <si>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</si>
  <si>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</si>
  <si>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</si>
  <si>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</si>
  <si>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</si>
  <si>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</si>
  <si>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</si>
  <si>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</si>
  <si>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</si>
  <si>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</si>
  <si>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</si>
  <si>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</si>
  <si>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</si>
  <si>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</si>
  <si>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</si>
  <si>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</si>
  <si>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</si>
  <si>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</si>
  <si>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</si>
  <si>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</si>
  <si>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</si>
  <si>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</si>
  <si>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</si>
  <si>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</si>
  <si>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Armamento de porte: Pistola 9x19mm (compacta), com carregadores reservas (Kit)
1. Especificações técnicas
1.1. Pistola, de porte, semi-automática, compacta;
1.2. Cor predominante: preta ou desert (coyote);
1.3. Calibre “9x19mm”;
1.4. Deverá vir acompanhada de no mínimo 03 (três) carregadores (um na arma e dois extras) com capacidade mínima de 15 munições/cartuchos, cada (Item 2.13);
1.5. Carcaça/punho em polímero com alças e alças intercambiáveis e texturizadas;
1.6. Trilho para acoplagem de acessórios, integrado ao frame (corpo da arma);
1.7. Cano dotado de estrias (raiamento), de sentido dextrógiro, com alma do tipo poligonal no eixo longitudinal (cantos arredondados), ou com sulcos tradicionais L&amp;G (canto vivo).
1.8. Comprimento do cano: Mínimo 95 mm e Máximo 114 mm;
1.9. Vida útil do cano de no mínimo 20.000 (vinte mil) disparos;
1.10. Comprimento máximo da arma 190 mm;
1.11. Comprimento mínimo da arma 170 mm;
1.12. Peso total da arma com carregador vazio: Mínimo 550 g e Máximo 828 g
1.13. Aparelho de Mira Fixa (pontaria) – Sistema triangular - alça / massa de mira - ou similar, com insertos de material auto luminescente (tritium) ou outra tecnologia superior disponível, com possibilidade de regulagem feita por armeiro; Para suportar uma aquisição de alvoconveniente e rápida os pontos circulares da alça e massa de mira devem ter pelo menos os diâmetros estandartes: massa da mira: mínimo de 1,9mm +/- 0,05mm; alça de mira: 1,9mm +/- 0,05mm.; as miras de tritio ou outra solução mais moderna devem ser desenhadas e produzidas de modo que a fonte luminosa de trítio ofereça pelo menos 10 anos de iluminação utilizável.
1.14. Sistema de funcionamento por Ação Striker Fire, sendo admitido o semitensionamento do percussor, desdeu que seu modo de operação não se caracterize como ação simples (single action) para realização de disparos; deve corresponder de 5 lbf a 15 lbf, conforme a normas internacionais.
2. Dispositivos de Segurança:
2.1. Sistema interno de travamento para o gatilho (segurança do gatilho) que impeça que o gatilho seja acionado por ação inercial ou acionamento involuntário, só ocorrendo disparo se o gatilho for corretamente acionado;
2.2. Segurança contra quedas (suportar queda ou choque, sem que ocorra desarme o acionamento involuntário do sistema de ação);
2.3. Preferencialmente com segurança do pino de disparo indireto;
2.4. Preferencialmente com bloqueio manual;
2.5. Sistema interno de bloqueio do percussor (trava do percussor): impedindo que o percussor atinja a espoleta, ao menos que a tecla do gatilho seja corretamente acionada, não devendo permitir qualquer marcação da espoleta quando do simples manejo do ferrolho, manuseio brusco ou queda da arma;
2.6. Não deverá possuir qualquer trava externa manual, exceto quando compuser o sistema de segurança do gatilho (trava de gatilho).
2.7. Indicador de cartucho na câmara (indicador de munição na câmera de fácil e nítida visualização);
2.8. Retém do carregador e do ferrolho ambidestros;
2.9. Possuir dispositivos de ajuste de empunhadura (backstrap ou outra solução mais moderna), em 03 (três) tamanhos diferentes (P, M e G);
2.10. Acabamento externo antirreflexo de alta resistência à abrasão, oxidações, agentes químicos, minerais e intempéries, na cor preta;
2.11. Cano e ferrolho em aço;
2.12. Punho e armação em polímero de alta resistência;
2.13. Mínimo de 03 (três) carregadores (um na arma e dois extras) com capacidade mínima de 15 munições/cartuchos, cada (Item 1.4).
2.14. Retém do ferrolho tipo ambidestro ou reversível, recartilhado ou texturizado
2.15. Retém do carregador tipo ambidestro ou reversível, recartilhado ou texturizado;
2.16. O armamento deve estar apto ao uso de munições nacionais e importadas dentro do calibre especificado e que atendam no mínimo às normas e padrões internacionais;
2.17. Deverá possuir acabamento de primeira linha, sem sinais de corrosão, imperfeições, rebarbas e/ou sobras de materiais, que evidenciem falta de qualidade no processo fabril, a fim de evitar ferimentos nos usuários, falhas de funcionamento e de procedimentos.
2.18. Na manutenção de primeiro escalão (montagem e desmontagem), inclusive de carregadores, deverá ser de fácil realização pelo usuário, sem o uso de ferramentas, exceto o uso de saca pino, bem como, sem a possibilidade de montagem equivocada de peças, assim no caso dessa possibilidade afetar a função e a segurança, a arma deve ser reprovada.
2.19. Deve possuir vareta de manutenção.
2.20. O kit completo deverá conter no mínimo os seguintes materiais: Pistola de porte calibre 9x19mm, 03 carregadores (um na arma de 02 reservas), vareta de manutenção, maleta para acondicionamento em polímero; 01 kit de empunhadura (backstrap ou similar) para ajuste do punho em conformidade com as especificações em 03 tamanhos distintos (P, M e G) e manual em português.
2.21. A empresa vencedora deverá entregar a arma brasonada e identificada e para tanto deverá gravar a seguinte inscrição no ferrolho: o Brasão da república seguido do Brasão da Polícia Judicial e da nomenclatura “TRE/BA”, conforme art. 7°, Portaria nº 213/2021 - COLOG/C Ex.
2.21.1. Inscrição - sigla do órgão (exemplo: TRE/BA)
2.21.2. Os Brasões e sigla deve possuir tamanho proporcional ao do ferrolho, conforme usualmente elaborado</t>
  </si>
  <si>
    <t>Armamento de porte: Pistola 9x19mm (subcompacta), com carregadores reservas (Kit)
1. Especificações técnicas
1.1. Pistola, de porte, semi-automática, subcompacta;
1.2. Cor predominante: preta ou desert (coyote);
1.3. Calibre “9x19mm”;
1.4. Deverá vir acompanhada de no mínimo 03 (três) carregadores (um na arma e dois extras) com capacidade mínima de 12 munições/cartuchos, cada (Item 2.13);
1.5. Carcaça/punho em polímero com alças e alças intercambiáveis e texturizadas;
1.6. Trilho para acoplagem de acessórios, integrado ao frame (corpo da arma);
1.7. Cano dotado de estrias (raiamento), de sentido dextrógiro, com alma do tipo poligonal no eixo longitudinal (cantos arredondados), ou com sulcos tradicionais L&amp;G (canto vivo).
1.8. Comprimento do cano: Mínimo 80 mm e Máximo 90 mm;
1.9. Vida útil do cano de no mínimo 15.000 (quinze mil) disparos;
1.10. Comprimento máximo da arma 170 mm;
1.11. Comprimento mínimo da arma 160 mm;
1.12. Peso total da arma com carregador vazio: Mínimo 610 g e Máximo 620 g
1.13. Aparelho de Mira Fixa (pontaria) – Sistema triangular - alça / massa de mira - ou similar, com insertos de material auto luminescente (tritium) ou outra tecnologia superior disponível, com possibilidade de regulagem feita por armeiro; Para suportar uma aquisição de alvoconveniente e rápida os pontos circulares da alça e massa de mira devem ter pelo menos os diâmetros estandartes: massa da mira: mínimo de 1,9mm +/- 0,05mm; alça de mira: 1,9mm +/- 0,05mm.; as miras de tritio ou outra solução mais moderna devem ser desenhadas e produzidas de modo que a fonte luminosa de trítio ofereça pelo menos 10 anos de iluminação utilizável.
1.14. Sistema de funcionamento por Ação Striker Fire, sendo admitido o semitensionamento do percussor, desdeu que seu modo de operação não se caracterize como ação simples (single action) para realização de disparos; deve corresponder de 5 lbf a 15 lbf, conforme a normas internacionais.
2. Dispositivos de Segurança:
2.1. Sistema interno de travamento para o gatilho (segurança do gatilho) que impeça que o gatilho seja acionado por ação inercial ou acionamento involuntário, só ocorrendo disparo se o gatilho for corretamente acionado;
2.2. Segurança contra quedas (suportar queda ou choque, sem que ocorra desarme o acionamento involuntário do sistema de ação);
2.3. Preferencialmente com segurança do pino de disparo indireto;
2.4. Preferencialmente com bloqueio manual;
2.5. Sistema interno de bloqueio do percussor (trava do percussor): impedindo que o percussor atinja a espoleta, ao menos que a tecla do gatilho seja corretamente acionada, não devendo permitir qualquer marcação da espoleta quando do simples manejo do ferrolho, manuseio brusco ou queda da arma;
2.6. Poderá possuir qualquer trava externa manual, exceto quando compuser o sistema de segurança do gatilho (trava de gatilho).
2.7. Indicador de cartucho na câmara (indicador de munição na câmera de fácil e nítida visualização);
2.8. Retém do carregador e do ferrolho ambidestros;
2.9. Possuir dispositivos de ajuste de empunhadura (backstrap ou outra solução mais moderna), em 03 (três) tamanhos diferentes (P, M e G);
2.10. Acabamento externo antirreflexo de alta resistência à abrasão, oxidações, agentes químicos, minerais e intempéries, na cor preta;
2.11. Cano e ferrolho em aço;
2.12. Punho e armação em polímero de alta resistência;
2.13. Mínimo de 03 (três) carregadores (um na arma e dois extras) com capacidade mínima de 12 munições/cartuchos, cada (Item 1.4).
2.14. Retém do ferrolho tipo ambidestro ou reversível, recartilhado ou texturizado
2.15. Retém do carregador tipo ambidestro ou reversível, recartilhado ou texturizado;
2.16. O armamento deve estar apto ao uso de munições nacionais e importadas dentro do calibre especificado e que atendam no mínimo às normas e padrões internacionais;
2.17. Deverá possuir acabamento de primeira linha, sem sinais de corrosão, imperfeições, rebarbas e/ou sobras de materiais, que evidenciem falta de qualidade no processo fabril, a fim de evitar ferimentos nos usuários, falhas de funcionamento e de procedimentos.
2.18. Na manutenção de primeiro escalão (montagem e desmontagem), inclusive de carregadores, deverá ser de fácil realização pelo usuário, sem o uso de ferramentas, exceto o uso de saca pino, bem como, sem a possibilidade de montagem equivocada de peças, assim no caso dessa possibilidade afetar a função e a segurança, a arma deve ser reprovada.
2.19. Deve possuir vareta de manutenção.
2.20. O kit completo deverá conter no mínimo os seguintes materiais: Pistola de porte calibre 9x19mm, 03 carregadores (um na arma de 02 reservas), vareta de manutenção, maleta para acondicionamento em polímero; 01 kit de empunhadura (backstrap ou similar) para ajuste do punho em conformidade com as especificações em 03 tamanhos distintos (P, M e G) e manual em português.
2.21. A empresa vencedora deverá entregar a arma brasonada e identificada e para tanto deverá gravar a seguinte inscrição no ferrolho: o Brasão da república seguido do Brasão da Polícia Judicial e da nomenclatura “TRE/BA”, conforme art. 7°, Portaria nº 213/2021 - COLOG/C Ex.
2.21.1. Inscrição - sigla do órgão (exemplo: TRE/BA)
2.21.2. Os Brasões e sigla deve possuir tamanho proporcional ao do ferrolho, conforme usualmente elabor</t>
  </si>
  <si>
    <t>MAGNUM COMERCIO DE ARMAS E SERVICOS LTDA</t>
  </si>
  <si>
    <t>JOSE G B S DA SILVA</t>
  </si>
  <si>
    <t>FORTE SÃO PAULO EQUIPAMENTOS POLICIAIS LTDA</t>
  </si>
  <si>
    <t>PUMA ARTIGOS DE SEGURANÇA LTDA</t>
  </si>
  <si>
    <t>GLOCK AMERICA S.A</t>
  </si>
  <si>
    <t>SAMSUN YURT SAVUNMA SANAYI VE TICARET ANONIM SIRKETI</t>
  </si>
  <si>
    <t>IMPERIO DA POLVORA</t>
  </si>
  <si>
    <t>NO RISK</t>
  </si>
  <si>
    <t>WARZONE BRAZIL</t>
  </si>
  <si>
    <t>ARMAS RIO PRETO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</si>
</sst>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9" sqref="G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203</v>
      </c>
      <c r="C3" s="36" t="s">
        <v>7</v>
      </c>
      <c r="D3" s="36">
        <v>13</v>
      </c>
      <c r="E3" s="37">
        <f>IF(C20&lt;=25%,D20,MIN(E20:F20))</f>
        <v>5364.09</v>
      </c>
      <c r="F3" s="37">
        <f>MIN(H3:H17)</f>
        <v>3273.19</v>
      </c>
      <c r="G3" s="5" t="s">
        <v>205</v>
      </c>
      <c r="H3" s="16">
        <v>6615.99</v>
      </c>
      <c r="I3" s="17" t="str">
        <f>IF(H3="","",(IF($C$20&lt;25%,"n/a",IF(H3&lt;=($D$20+$A$20),H3,"Descartado"))))</f>
        <v>n/a</v>
      </c>
    </row>
    <row r="4" spans="1:9" x14ac:dyDescent="0.25">
      <c r="A4" s="38"/>
      <c r="B4" s="35"/>
      <c r="C4" s="36"/>
      <c r="D4" s="36"/>
      <c r="E4" s="37"/>
      <c r="F4" s="37"/>
      <c r="G4" s="5" t="s">
        <v>206</v>
      </c>
      <c r="H4" s="16">
        <v>6084</v>
      </c>
      <c r="I4" s="17" t="str">
        <f t="shared" ref="I4:I17" si="0">IF(H4="","",(IF($C$20&lt;25%,"n/a",IF(H4&lt;=($D$20+$A$20),H4,"Descartado"))))</f>
        <v>n/a</v>
      </c>
    </row>
    <row r="5" spans="1:9" x14ac:dyDescent="0.25">
      <c r="A5" s="38"/>
      <c r="B5" s="35"/>
      <c r="C5" s="36"/>
      <c r="D5" s="36"/>
      <c r="E5" s="37"/>
      <c r="F5" s="37"/>
      <c r="G5" s="5" t="s">
        <v>207</v>
      </c>
      <c r="H5" s="16">
        <v>5688</v>
      </c>
      <c r="I5" s="17" t="str">
        <f t="shared" si="0"/>
        <v>n/a</v>
      </c>
    </row>
    <row r="6" spans="1:9" x14ac:dyDescent="0.25">
      <c r="A6" s="38"/>
      <c r="B6" s="35"/>
      <c r="C6" s="36"/>
      <c r="D6" s="36"/>
      <c r="E6" s="37"/>
      <c r="F6" s="37"/>
      <c r="G6" s="5" t="s">
        <v>208</v>
      </c>
      <c r="H6" s="16">
        <v>5090</v>
      </c>
      <c r="I6" s="17" t="str">
        <f t="shared" si="0"/>
        <v>n/a</v>
      </c>
    </row>
    <row r="7" spans="1:9" x14ac:dyDescent="0.25">
      <c r="A7" s="38"/>
      <c r="B7" s="35"/>
      <c r="C7" s="36"/>
      <c r="D7" s="36"/>
      <c r="E7" s="37"/>
      <c r="F7" s="37"/>
      <c r="G7" s="5" t="s">
        <v>209</v>
      </c>
      <c r="H7" s="16">
        <v>5433.33</v>
      </c>
      <c r="I7" s="17" t="str">
        <f t="shared" si="0"/>
        <v>n/a</v>
      </c>
    </row>
    <row r="8" spans="1:9" x14ac:dyDescent="0.25">
      <c r="A8" s="38"/>
      <c r="B8" s="35"/>
      <c r="C8" s="36"/>
      <c r="D8" s="36"/>
      <c r="E8" s="37"/>
      <c r="F8" s="37"/>
      <c r="G8" s="5" t="s">
        <v>210</v>
      </c>
      <c r="H8" s="16">
        <v>3273.19</v>
      </c>
      <c r="I8" s="17" t="str">
        <f t="shared" si="0"/>
        <v>n/a</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1152.5817994181614</v>
      </c>
      <c r="B20" s="8">
        <f>COUNT(H3:H17)</f>
        <v>6</v>
      </c>
      <c r="C20" s="9">
        <f>IF(B20&lt;2,"n/a",(A20/D20))</f>
        <v>0.21486995919497273</v>
      </c>
      <c r="D20" s="10">
        <f>IFERROR(ROUND(AVERAGE(H3:H17),2),"")</f>
        <v>5364.09</v>
      </c>
      <c r="E20" s="15" t="str">
        <f>IFERROR(ROUND(IF(B20&lt;2,"n/a",(IF(C20&lt;=25%,"n/a",AVERAGE(I3:I17)))),2),"n/a")</f>
        <v>n/a</v>
      </c>
      <c r="F20" s="10">
        <f>IFERROR(ROUND(MEDIAN(H3:H17),2),"")</f>
        <v>5560.67</v>
      </c>
      <c r="G20" s="11" t="str">
        <f>IFERROR(INDEX(G3:G17,MATCH(H20,H3:H17,0)),"")</f>
        <v>SAMSUN YURT SAVUNMA SANAYI VE TICARET ANONIM SIRKETI</v>
      </c>
      <c r="H20" s="12">
        <f>F3</f>
        <v>3273.19</v>
      </c>
    </row>
    <row r="22" spans="1:9" x14ac:dyDescent="0.25">
      <c r="G22" s="13" t="s">
        <v>20</v>
      </c>
      <c r="H22" s="14">
        <f>IF(C20&lt;=25%,D20,MIN(E20:F20))</f>
        <v>5364.09</v>
      </c>
    </row>
    <row r="23" spans="1:9" x14ac:dyDescent="0.25">
      <c r="G23" s="13" t="s">
        <v>6</v>
      </c>
      <c r="H23" s="14">
        <f>ROUND(H22,2)*D3</f>
        <v>69733.17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41</v>
      </c>
      <c r="C3" s="36" t="s">
        <v>7</v>
      </c>
      <c r="D3" s="36">
        <v>4</v>
      </c>
      <c r="E3" s="37">
        <f>IF(C20&lt;=25%,D20,MIN(E20:F20))</f>
        <v>96.78</v>
      </c>
      <c r="F3" s="37">
        <f>MIN(H3:H17)</f>
        <v>40</v>
      </c>
      <c r="G3" s="5" t="s">
        <v>100</v>
      </c>
      <c r="H3" s="16">
        <v>98</v>
      </c>
      <c r="I3" s="17">
        <f>IF(H3="","",(IF($C$20&lt;25%,"n/a",IF(H3&lt;=($D$20+$A$20),H3,"Descartado"))))</f>
        <v>98</v>
      </c>
    </row>
    <row r="4" spans="1:9" x14ac:dyDescent="0.25">
      <c r="A4" s="38"/>
      <c r="B4" s="35"/>
      <c r="C4" s="36"/>
      <c r="D4" s="36"/>
      <c r="E4" s="37"/>
      <c r="F4" s="37"/>
      <c r="G4" s="5" t="s">
        <v>101</v>
      </c>
      <c r="H4" s="16">
        <v>134.55000000000001</v>
      </c>
      <c r="I4" s="17">
        <f t="shared" ref="I4:I17" si="0">IF(H4="","",(IF($C$20&lt;25%,"n/a",IF(H4&lt;=($D$20+$A$20),H4,"Descartado"))))</f>
        <v>134.55000000000001</v>
      </c>
    </row>
    <row r="5" spans="1:9" x14ac:dyDescent="0.25">
      <c r="A5" s="38"/>
      <c r="B5" s="35"/>
      <c r="C5" s="36"/>
      <c r="D5" s="36"/>
      <c r="E5" s="37"/>
      <c r="F5" s="37"/>
      <c r="G5" s="5" t="s">
        <v>102</v>
      </c>
      <c r="H5" s="16">
        <v>59.77</v>
      </c>
      <c r="I5" s="17">
        <f t="shared" si="0"/>
        <v>59.77</v>
      </c>
    </row>
    <row r="6" spans="1:9" x14ac:dyDescent="0.25">
      <c r="A6" s="38"/>
      <c r="B6" s="35"/>
      <c r="C6" s="36"/>
      <c r="D6" s="36"/>
      <c r="E6" s="37"/>
      <c r="F6" s="37"/>
      <c r="G6" s="5" t="s">
        <v>103</v>
      </c>
      <c r="H6" s="16">
        <v>167</v>
      </c>
      <c r="I6" s="17">
        <f t="shared" si="0"/>
        <v>167</v>
      </c>
    </row>
    <row r="7" spans="1:9" x14ac:dyDescent="0.25">
      <c r="A7" s="38"/>
      <c r="B7" s="35"/>
      <c r="C7" s="36"/>
      <c r="D7" s="36"/>
      <c r="E7" s="37"/>
      <c r="F7" s="37"/>
      <c r="G7" s="5" t="s">
        <v>104</v>
      </c>
      <c r="H7" s="16">
        <v>60</v>
      </c>
      <c r="I7" s="17">
        <f t="shared" si="0"/>
        <v>60</v>
      </c>
    </row>
    <row r="8" spans="1:9" x14ac:dyDescent="0.25">
      <c r="A8" s="38"/>
      <c r="B8" s="35"/>
      <c r="C8" s="36"/>
      <c r="D8" s="36"/>
      <c r="E8" s="37"/>
      <c r="F8" s="37"/>
      <c r="G8" s="5" t="s">
        <v>105</v>
      </c>
      <c r="H8" s="16">
        <v>50</v>
      </c>
      <c r="I8" s="17">
        <f t="shared" si="0"/>
        <v>50</v>
      </c>
    </row>
    <row r="9" spans="1:9" x14ac:dyDescent="0.25">
      <c r="A9" s="38"/>
      <c r="B9" s="35"/>
      <c r="C9" s="36"/>
      <c r="D9" s="36"/>
      <c r="E9" s="37"/>
      <c r="F9" s="37"/>
      <c r="G9" s="5" t="s">
        <v>106</v>
      </c>
      <c r="H9" s="16">
        <v>40</v>
      </c>
      <c r="I9" s="17">
        <f t="shared" si="0"/>
        <v>40</v>
      </c>
    </row>
    <row r="10" spans="1:9" x14ac:dyDescent="0.25">
      <c r="A10" s="38"/>
      <c r="B10" s="35"/>
      <c r="C10" s="36"/>
      <c r="D10" s="36"/>
      <c r="E10" s="37"/>
      <c r="F10" s="37"/>
      <c r="G10" s="5" t="s">
        <v>107</v>
      </c>
      <c r="H10" s="16">
        <v>198.99</v>
      </c>
      <c r="I10" s="17" t="str">
        <f t="shared" si="0"/>
        <v>Descartado</v>
      </c>
    </row>
    <row r="11" spans="1:9" x14ac:dyDescent="0.25">
      <c r="A11" s="38"/>
      <c r="B11" s="35"/>
      <c r="C11" s="36"/>
      <c r="D11" s="36"/>
      <c r="E11" s="37"/>
      <c r="F11" s="37"/>
      <c r="G11" s="5" t="s">
        <v>108</v>
      </c>
      <c r="H11" s="16">
        <v>200</v>
      </c>
      <c r="I11" s="17" t="str">
        <f t="shared" si="0"/>
        <v>Descartado</v>
      </c>
    </row>
    <row r="12" spans="1:9" x14ac:dyDescent="0.25">
      <c r="A12" s="38"/>
      <c r="B12" s="35"/>
      <c r="C12" s="36"/>
      <c r="D12" s="36"/>
      <c r="E12" s="37"/>
      <c r="F12" s="37"/>
      <c r="G12" s="5" t="s">
        <v>173</v>
      </c>
      <c r="H12" s="16">
        <v>199</v>
      </c>
      <c r="I12" s="17" t="str">
        <f t="shared" si="0"/>
        <v>Descartado</v>
      </c>
    </row>
    <row r="13" spans="1:9" x14ac:dyDescent="0.25">
      <c r="A13" s="38"/>
      <c r="B13" s="35"/>
      <c r="C13" s="36"/>
      <c r="D13" s="36"/>
      <c r="E13" s="37"/>
      <c r="F13" s="37"/>
      <c r="G13" s="5" t="s">
        <v>174</v>
      </c>
      <c r="H13" s="16">
        <v>164.9</v>
      </c>
      <c r="I13" s="17">
        <f t="shared" si="0"/>
        <v>164.9</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42</v>
      </c>
      <c r="C3" s="36" t="s">
        <v>7</v>
      </c>
      <c r="D3" s="36">
        <v>2</v>
      </c>
      <c r="E3" s="37">
        <f>IF(C20&lt;=25%,D20,MIN(E20:F20))</f>
        <v>317.42</v>
      </c>
      <c r="F3" s="37">
        <f>MIN(H3:H17)</f>
        <v>143.76</v>
      </c>
      <c r="G3" s="5" t="s">
        <v>63</v>
      </c>
      <c r="H3" s="16">
        <v>308.31</v>
      </c>
      <c r="I3" s="17">
        <f>IF(H3="","",(IF($C$20&lt;25%,"n/a",IF(H3&lt;=($D$20+$A$20),H3,"Descartado"))))</f>
        <v>308.31</v>
      </c>
    </row>
    <row r="4" spans="1:9" x14ac:dyDescent="0.25">
      <c r="A4" s="38"/>
      <c r="B4" s="35"/>
      <c r="C4" s="36"/>
      <c r="D4" s="36"/>
      <c r="E4" s="37"/>
      <c r="F4" s="37"/>
      <c r="G4" s="5" t="s">
        <v>109</v>
      </c>
      <c r="H4" s="16">
        <v>283</v>
      </c>
      <c r="I4" s="17">
        <f t="shared" ref="I4:I17" si="0">IF(H4="","",(IF($C$20&lt;25%,"n/a",IF(H4&lt;=($D$20+$A$20),H4,"Descartado"))))</f>
        <v>283</v>
      </c>
    </row>
    <row r="5" spans="1:9" x14ac:dyDescent="0.25">
      <c r="A5" s="38"/>
      <c r="B5" s="35"/>
      <c r="C5" s="36"/>
      <c r="D5" s="36"/>
      <c r="E5" s="37"/>
      <c r="F5" s="37"/>
      <c r="G5" s="5" t="s">
        <v>110</v>
      </c>
      <c r="H5" s="16">
        <v>896</v>
      </c>
      <c r="I5" s="17" t="str">
        <f t="shared" si="0"/>
        <v>Descartado</v>
      </c>
    </row>
    <row r="6" spans="1:9" x14ac:dyDescent="0.25">
      <c r="A6" s="38"/>
      <c r="B6" s="35"/>
      <c r="C6" s="36"/>
      <c r="D6" s="36"/>
      <c r="E6" s="37"/>
      <c r="F6" s="37"/>
      <c r="G6" s="5" t="s">
        <v>64</v>
      </c>
      <c r="H6" s="16">
        <v>949</v>
      </c>
      <c r="I6" s="17" t="str">
        <f t="shared" si="0"/>
        <v>Descartado</v>
      </c>
    </row>
    <row r="7" spans="1:9" x14ac:dyDescent="0.25">
      <c r="A7" s="38"/>
      <c r="B7" s="35"/>
      <c r="C7" s="36"/>
      <c r="D7" s="36"/>
      <c r="E7" s="37"/>
      <c r="F7" s="37"/>
      <c r="G7" s="5" t="s">
        <v>111</v>
      </c>
      <c r="H7" s="16">
        <v>1100</v>
      </c>
      <c r="I7" s="17" t="str">
        <f t="shared" si="0"/>
        <v>Descartado</v>
      </c>
    </row>
    <row r="8" spans="1:9" x14ac:dyDescent="0.25">
      <c r="A8" s="38"/>
      <c r="B8" s="35"/>
      <c r="C8" s="36"/>
      <c r="D8" s="36"/>
      <c r="E8" s="37"/>
      <c r="F8" s="37"/>
      <c r="G8" s="5" t="s">
        <v>112</v>
      </c>
      <c r="H8" s="16">
        <v>412</v>
      </c>
      <c r="I8" s="17">
        <f t="shared" si="0"/>
        <v>412</v>
      </c>
    </row>
    <row r="9" spans="1:9" x14ac:dyDescent="0.25">
      <c r="A9" s="38"/>
      <c r="B9" s="35"/>
      <c r="C9" s="36"/>
      <c r="D9" s="36"/>
      <c r="E9" s="37"/>
      <c r="F9" s="37"/>
      <c r="G9" s="5" t="s">
        <v>113</v>
      </c>
      <c r="H9" s="16">
        <v>328.87</v>
      </c>
      <c r="I9" s="17">
        <f t="shared" si="0"/>
        <v>328.87</v>
      </c>
    </row>
    <row r="10" spans="1:9" x14ac:dyDescent="0.25">
      <c r="A10" s="38"/>
      <c r="B10" s="35"/>
      <c r="C10" s="36"/>
      <c r="D10" s="36"/>
      <c r="E10" s="37"/>
      <c r="F10" s="37"/>
      <c r="G10" s="5" t="s">
        <v>114</v>
      </c>
      <c r="H10" s="16">
        <v>250</v>
      </c>
      <c r="I10" s="17">
        <f t="shared" si="0"/>
        <v>250</v>
      </c>
    </row>
    <row r="11" spans="1:9" x14ac:dyDescent="0.25">
      <c r="A11" s="38"/>
      <c r="B11" s="35"/>
      <c r="C11" s="36"/>
      <c r="D11" s="36"/>
      <c r="E11" s="37"/>
      <c r="F11" s="37"/>
      <c r="G11" s="5" t="s">
        <v>115</v>
      </c>
      <c r="H11" s="16">
        <v>143.76</v>
      </c>
      <c r="I11" s="17">
        <f t="shared" si="0"/>
        <v>143.76</v>
      </c>
    </row>
    <row r="12" spans="1:9" x14ac:dyDescent="0.25">
      <c r="A12" s="38"/>
      <c r="B12" s="35"/>
      <c r="C12" s="36"/>
      <c r="D12" s="36"/>
      <c r="E12" s="37"/>
      <c r="F12" s="37"/>
      <c r="G12" s="5" t="s">
        <v>94</v>
      </c>
      <c r="H12" s="16">
        <v>583.65</v>
      </c>
      <c r="I12" s="17">
        <f t="shared" si="0"/>
        <v>583.65</v>
      </c>
    </row>
    <row r="13" spans="1:9" x14ac:dyDescent="0.25">
      <c r="A13" s="38"/>
      <c r="B13" s="35"/>
      <c r="C13" s="36"/>
      <c r="D13" s="36"/>
      <c r="E13" s="37"/>
      <c r="F13" s="37"/>
      <c r="G13" s="5" t="s">
        <v>116</v>
      </c>
      <c r="H13" s="16">
        <v>376.2</v>
      </c>
      <c r="I13" s="17">
        <f t="shared" si="0"/>
        <v>376.2</v>
      </c>
    </row>
    <row r="14" spans="1:9" x14ac:dyDescent="0.25">
      <c r="A14" s="38"/>
      <c r="B14" s="35"/>
      <c r="C14" s="36"/>
      <c r="D14" s="36"/>
      <c r="E14" s="37"/>
      <c r="F14" s="37"/>
      <c r="G14" s="5" t="s">
        <v>167</v>
      </c>
      <c r="H14" s="16">
        <v>171.03</v>
      </c>
      <c r="I14" s="17">
        <f t="shared" si="0"/>
        <v>171.03</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43</v>
      </c>
      <c r="C3" s="36" t="s">
        <v>7</v>
      </c>
      <c r="D3" s="36">
        <v>1</v>
      </c>
      <c r="E3" s="37">
        <f>IF(C20&lt;=25%,D20,MIN(E20:F20))</f>
        <v>808.95</v>
      </c>
      <c r="F3" s="37">
        <f>MIN(H3:H17)</f>
        <v>289.89999999999998</v>
      </c>
      <c r="G3" s="5" t="s">
        <v>96</v>
      </c>
      <c r="H3" s="16">
        <v>761.9</v>
      </c>
      <c r="I3" s="17">
        <f>IF(H3="","",(IF($C$20&lt;25%,"n/a",IF(H3&lt;=($D$20+$A$20),H3,"Descartado"))))</f>
        <v>761.9</v>
      </c>
    </row>
    <row r="4" spans="1:9" x14ac:dyDescent="0.25">
      <c r="A4" s="38"/>
      <c r="B4" s="35"/>
      <c r="C4" s="36"/>
      <c r="D4" s="36"/>
      <c r="E4" s="37"/>
      <c r="F4" s="37"/>
      <c r="G4" s="5" t="s">
        <v>117</v>
      </c>
      <c r="H4" s="16">
        <v>748</v>
      </c>
      <c r="I4" s="17">
        <f t="shared" ref="I4:I17" si="0">IF(H4="","",(IF($C$20&lt;25%,"n/a",IF(H4&lt;=($D$20+$A$20),H4,"Descartado"))))</f>
        <v>748</v>
      </c>
    </row>
    <row r="5" spans="1:9" x14ac:dyDescent="0.25">
      <c r="A5" s="38"/>
      <c r="B5" s="35"/>
      <c r="C5" s="36"/>
      <c r="D5" s="36"/>
      <c r="E5" s="37"/>
      <c r="F5" s="37"/>
      <c r="G5" s="5" t="s">
        <v>103</v>
      </c>
      <c r="H5" s="16">
        <v>1880</v>
      </c>
      <c r="I5" s="17" t="str">
        <f t="shared" si="0"/>
        <v>Descartado</v>
      </c>
    </row>
    <row r="6" spans="1:9" x14ac:dyDescent="0.25">
      <c r="A6" s="38"/>
      <c r="B6" s="35"/>
      <c r="C6" s="36"/>
      <c r="D6" s="36"/>
      <c r="E6" s="37"/>
      <c r="F6" s="37"/>
      <c r="G6" s="5" t="s">
        <v>118</v>
      </c>
      <c r="H6" s="16">
        <v>1084.05</v>
      </c>
      <c r="I6" s="17">
        <f t="shared" si="0"/>
        <v>1084.05</v>
      </c>
    </row>
    <row r="7" spans="1:9" x14ac:dyDescent="0.25">
      <c r="A7" s="38"/>
      <c r="B7" s="35"/>
      <c r="C7" s="36"/>
      <c r="D7" s="36"/>
      <c r="E7" s="37"/>
      <c r="F7" s="37"/>
      <c r="G7" s="5" t="s">
        <v>119</v>
      </c>
      <c r="H7" s="16">
        <v>1178</v>
      </c>
      <c r="I7" s="17">
        <f t="shared" si="0"/>
        <v>1178</v>
      </c>
    </row>
    <row r="8" spans="1:9" x14ac:dyDescent="0.25">
      <c r="A8" s="38"/>
      <c r="B8" s="35"/>
      <c r="C8" s="36"/>
      <c r="D8" s="36"/>
      <c r="E8" s="37"/>
      <c r="F8" s="37"/>
      <c r="G8" s="5" t="s">
        <v>120</v>
      </c>
      <c r="H8" s="16">
        <v>1500</v>
      </c>
      <c r="I8" s="17" t="str">
        <f t="shared" si="0"/>
        <v>Descartado</v>
      </c>
    </row>
    <row r="9" spans="1:9" x14ac:dyDescent="0.25">
      <c r="A9" s="38"/>
      <c r="B9" s="35"/>
      <c r="C9" s="36"/>
      <c r="D9" s="36"/>
      <c r="E9" s="37"/>
      <c r="F9" s="37"/>
      <c r="G9" s="5" t="s">
        <v>121</v>
      </c>
      <c r="H9" s="16">
        <v>859</v>
      </c>
      <c r="I9" s="17">
        <f t="shared" si="0"/>
        <v>859</v>
      </c>
    </row>
    <row r="10" spans="1:9" x14ac:dyDescent="0.25">
      <c r="A10" s="38"/>
      <c r="B10" s="35"/>
      <c r="C10" s="36"/>
      <c r="D10" s="36"/>
      <c r="E10" s="37"/>
      <c r="F10" s="37"/>
      <c r="G10" s="5" t="s">
        <v>122</v>
      </c>
      <c r="H10" s="16">
        <v>673.78</v>
      </c>
      <c r="I10" s="17">
        <f t="shared" si="0"/>
        <v>673.78</v>
      </c>
    </row>
    <row r="11" spans="1:9" x14ac:dyDescent="0.25">
      <c r="A11" s="38"/>
      <c r="B11" s="35"/>
      <c r="C11" s="36"/>
      <c r="D11" s="36"/>
      <c r="E11" s="37"/>
      <c r="F11" s="37"/>
      <c r="G11" s="5" t="s">
        <v>175</v>
      </c>
      <c r="H11" s="16">
        <v>877</v>
      </c>
      <c r="I11" s="17">
        <f t="shared" si="0"/>
        <v>877</v>
      </c>
    </row>
    <row r="12" spans="1:9" x14ac:dyDescent="0.25">
      <c r="A12" s="38"/>
      <c r="B12" s="35"/>
      <c r="C12" s="36"/>
      <c r="D12" s="36"/>
      <c r="E12" s="37"/>
      <c r="F12" s="37"/>
      <c r="G12" s="5" t="s">
        <v>176</v>
      </c>
      <c r="H12" s="16">
        <v>289.89999999999998</v>
      </c>
      <c r="I12" s="17">
        <f t="shared" si="0"/>
        <v>289.89999999999998</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44</v>
      </c>
      <c r="C3" s="36" t="s">
        <v>7</v>
      </c>
      <c r="D3" s="36">
        <v>2</v>
      </c>
      <c r="E3" s="37">
        <f>IF(C20&lt;=25%,D20,MIN(E20:F20))</f>
        <v>733.15</v>
      </c>
      <c r="F3" s="37">
        <f>MIN(H3:H17)</f>
        <v>530</v>
      </c>
      <c r="G3" s="5" t="s">
        <v>123</v>
      </c>
      <c r="H3" s="16">
        <v>2799.98</v>
      </c>
      <c r="I3" s="17" t="str">
        <f>IF(H3="","",(IF($C$20&lt;25%,"n/a",IF(H3&lt;=($D$20+$A$20),H3,"Descartado"))))</f>
        <v>Descartado</v>
      </c>
    </row>
    <row r="4" spans="1:9" x14ac:dyDescent="0.25">
      <c r="A4" s="38"/>
      <c r="B4" s="35"/>
      <c r="C4" s="36"/>
      <c r="D4" s="36"/>
      <c r="E4" s="37"/>
      <c r="F4" s="37"/>
      <c r="G4" s="5" t="s">
        <v>124</v>
      </c>
      <c r="H4" s="16">
        <v>839.76</v>
      </c>
      <c r="I4" s="17">
        <f t="shared" ref="I4:I17" si="0">IF(H4="","",(IF($C$20&lt;25%,"n/a",IF(H4&lt;=($D$20+$A$20),H4,"Descartado"))))</f>
        <v>839.76</v>
      </c>
    </row>
    <row r="5" spans="1:9" x14ac:dyDescent="0.25">
      <c r="A5" s="38"/>
      <c r="B5" s="35"/>
      <c r="C5" s="36"/>
      <c r="D5" s="36"/>
      <c r="E5" s="37"/>
      <c r="F5" s="37"/>
      <c r="G5" s="5" t="s">
        <v>125</v>
      </c>
      <c r="H5" s="16">
        <v>657.09</v>
      </c>
      <c r="I5" s="17">
        <f t="shared" si="0"/>
        <v>657.09</v>
      </c>
    </row>
    <row r="6" spans="1:9" x14ac:dyDescent="0.25">
      <c r="A6" s="38"/>
      <c r="B6" s="35"/>
      <c r="C6" s="36"/>
      <c r="D6" s="36"/>
      <c r="E6" s="37"/>
      <c r="F6" s="37"/>
      <c r="G6" s="5" t="s">
        <v>93</v>
      </c>
      <c r="H6" s="16">
        <v>939</v>
      </c>
      <c r="I6" s="17">
        <f t="shared" si="0"/>
        <v>939</v>
      </c>
    </row>
    <row r="7" spans="1:9" x14ac:dyDescent="0.25">
      <c r="A7" s="38"/>
      <c r="B7" s="35"/>
      <c r="C7" s="36"/>
      <c r="D7" s="36"/>
      <c r="E7" s="37"/>
      <c r="F7" s="37"/>
      <c r="G7" s="5" t="s">
        <v>177</v>
      </c>
      <c r="H7" s="16">
        <v>530</v>
      </c>
      <c r="I7" s="17">
        <f t="shared" si="0"/>
        <v>530</v>
      </c>
    </row>
    <row r="8" spans="1:9" x14ac:dyDescent="0.25">
      <c r="A8" s="38"/>
      <c r="B8" s="35"/>
      <c r="C8" s="36"/>
      <c r="D8" s="36"/>
      <c r="E8" s="37"/>
      <c r="F8" s="37"/>
      <c r="G8" s="5" t="s">
        <v>178</v>
      </c>
      <c r="H8" s="16">
        <v>699.9</v>
      </c>
      <c r="I8" s="17">
        <f t="shared" si="0"/>
        <v>699.9</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45</v>
      </c>
      <c r="C3" s="36" t="s">
        <v>7</v>
      </c>
      <c r="D3" s="36">
        <v>2</v>
      </c>
      <c r="E3" s="37">
        <f>IF(C20&lt;=25%,D20,MIN(E20:F20))</f>
        <v>450</v>
      </c>
      <c r="F3" s="37">
        <f>MIN(H3:H17)</f>
        <v>305</v>
      </c>
      <c r="G3" s="5" t="s">
        <v>126</v>
      </c>
      <c r="H3" s="16">
        <v>450</v>
      </c>
      <c r="I3" s="17">
        <f>IF(H3="","",(IF($C$20&lt;25%,"n/a",IF(H3&lt;=($D$20+$A$20),H3,"Descartado"))))</f>
        <v>450</v>
      </c>
    </row>
    <row r="4" spans="1:9" x14ac:dyDescent="0.25">
      <c r="A4" s="38"/>
      <c r="B4" s="35"/>
      <c r="C4" s="36"/>
      <c r="D4" s="36"/>
      <c r="E4" s="37"/>
      <c r="F4" s="37"/>
      <c r="G4" s="5" t="s">
        <v>127</v>
      </c>
      <c r="H4" s="16">
        <v>425.7</v>
      </c>
      <c r="I4" s="17">
        <f t="shared" ref="I4:I17" si="0">IF(H4="","",(IF($C$20&lt;25%,"n/a",IF(H4&lt;=($D$20+$A$20),H4,"Descartado"))))</f>
        <v>425.7</v>
      </c>
    </row>
    <row r="5" spans="1:9" x14ac:dyDescent="0.25">
      <c r="A5" s="38"/>
      <c r="B5" s="35"/>
      <c r="C5" s="36"/>
      <c r="D5" s="36"/>
      <c r="E5" s="37"/>
      <c r="F5" s="37"/>
      <c r="G5" s="5" t="s">
        <v>98</v>
      </c>
      <c r="H5" s="16">
        <v>471.67</v>
      </c>
      <c r="I5" s="17">
        <f t="shared" si="0"/>
        <v>471.67</v>
      </c>
    </row>
    <row r="6" spans="1:9" x14ac:dyDescent="0.25">
      <c r="A6" s="38"/>
      <c r="B6" s="35"/>
      <c r="C6" s="36"/>
      <c r="D6" s="36"/>
      <c r="E6" s="37"/>
      <c r="F6" s="37"/>
      <c r="G6" s="5" t="s">
        <v>100</v>
      </c>
      <c r="H6" s="16">
        <v>749.5</v>
      </c>
      <c r="I6" s="17">
        <f t="shared" si="0"/>
        <v>749.5</v>
      </c>
    </row>
    <row r="7" spans="1:9" x14ac:dyDescent="0.25">
      <c r="A7" s="38"/>
      <c r="B7" s="35"/>
      <c r="C7" s="36"/>
      <c r="D7" s="36"/>
      <c r="E7" s="37"/>
      <c r="F7" s="37"/>
      <c r="G7" s="5" t="s">
        <v>128</v>
      </c>
      <c r="H7" s="16">
        <v>4000</v>
      </c>
      <c r="I7" s="17" t="str">
        <f t="shared" si="0"/>
        <v>Descartado</v>
      </c>
    </row>
    <row r="8" spans="1:9" x14ac:dyDescent="0.25">
      <c r="A8" s="38"/>
      <c r="B8" s="35"/>
      <c r="C8" s="36"/>
      <c r="D8" s="36"/>
      <c r="E8" s="37"/>
      <c r="F8" s="37"/>
      <c r="G8" s="5" t="s">
        <v>129</v>
      </c>
      <c r="H8" s="16">
        <v>305</v>
      </c>
      <c r="I8" s="17">
        <f t="shared" si="0"/>
        <v>305</v>
      </c>
    </row>
    <row r="9" spans="1:9" x14ac:dyDescent="0.25">
      <c r="A9" s="38"/>
      <c r="B9" s="35"/>
      <c r="C9" s="36"/>
      <c r="D9" s="36"/>
      <c r="E9" s="37"/>
      <c r="F9" s="37"/>
      <c r="G9" s="5" t="s">
        <v>168</v>
      </c>
      <c r="H9" s="16">
        <v>441</v>
      </c>
      <c r="I9" s="17">
        <f t="shared" si="0"/>
        <v>441</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46</v>
      </c>
      <c r="C3" s="36" t="s">
        <v>7</v>
      </c>
      <c r="D3" s="36">
        <v>1</v>
      </c>
      <c r="E3" s="37">
        <f>IF(C20&lt;=25%,D20,MIN(E20:F20))</f>
        <v>793.68</v>
      </c>
      <c r="F3" s="37">
        <f>MIN(H3:H17)</f>
        <v>747.75</v>
      </c>
      <c r="G3" s="5" t="s">
        <v>130</v>
      </c>
      <c r="H3" s="16">
        <v>839.6</v>
      </c>
      <c r="I3" s="17">
        <f>IF(H3="","",(IF($C$20&lt;25%,"n/a",IF(H3&lt;=($D$20+$A$20),H3,"Descartado"))))</f>
        <v>839.6</v>
      </c>
    </row>
    <row r="4" spans="1:9" x14ac:dyDescent="0.25">
      <c r="A4" s="38"/>
      <c r="B4" s="35"/>
      <c r="C4" s="36"/>
      <c r="D4" s="36"/>
      <c r="E4" s="37"/>
      <c r="F4" s="37"/>
      <c r="G4" s="5" t="s">
        <v>131</v>
      </c>
      <c r="H4" s="16">
        <v>747.75</v>
      </c>
      <c r="I4" s="17">
        <f t="shared" ref="I4:I17" si="0">IF(H4="","",(IF($C$20&lt;25%,"n/a",IF(H4&lt;=($D$20+$A$20),H4,"Descartado"))))</f>
        <v>747.75</v>
      </c>
    </row>
    <row r="5" spans="1:9" x14ac:dyDescent="0.25">
      <c r="A5" s="38"/>
      <c r="B5" s="35"/>
      <c r="C5" s="36"/>
      <c r="D5" s="36"/>
      <c r="E5" s="37"/>
      <c r="F5" s="37"/>
      <c r="G5" s="5" t="s">
        <v>168</v>
      </c>
      <c r="H5" s="16">
        <v>1201.19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47</v>
      </c>
      <c r="C3" s="36" t="s">
        <v>7</v>
      </c>
      <c r="D3" s="36">
        <v>1</v>
      </c>
      <c r="E3" s="37">
        <f>IF(C20&lt;=25%,D20,MIN(E20:F20))</f>
        <v>2798</v>
      </c>
      <c r="F3" s="37">
        <f>MIN(H3:H17)</f>
        <v>1999</v>
      </c>
      <c r="G3" s="5" t="s">
        <v>132</v>
      </c>
      <c r="H3" s="16">
        <v>43500</v>
      </c>
      <c r="I3" s="17" t="str">
        <f>IF(H3="","",(IF($C$20&lt;25%,"n/a",IF(H3&lt;=($D$20+$A$20),H3,"Descartado"))))</f>
        <v>Descartado</v>
      </c>
    </row>
    <row r="4" spans="1:9" x14ac:dyDescent="0.25">
      <c r="A4" s="38"/>
      <c r="B4" s="35"/>
      <c r="C4" s="36"/>
      <c r="D4" s="36"/>
      <c r="E4" s="37"/>
      <c r="F4" s="37"/>
      <c r="G4" s="5" t="s">
        <v>133</v>
      </c>
      <c r="H4" s="16">
        <v>3750</v>
      </c>
      <c r="I4" s="17">
        <f t="shared" ref="I4:I17" si="0">IF(H4="","",(IF($C$20&lt;25%,"n/a",IF(H4&lt;=($D$20+$A$20),H4,"Descartado"))))</f>
        <v>3750</v>
      </c>
    </row>
    <row r="5" spans="1:9" x14ac:dyDescent="0.25">
      <c r="A5" s="38"/>
      <c r="B5" s="35"/>
      <c r="C5" s="36"/>
      <c r="D5" s="36"/>
      <c r="E5" s="37"/>
      <c r="F5" s="37"/>
      <c r="G5" s="5" t="s">
        <v>134</v>
      </c>
      <c r="H5" s="16">
        <v>2000</v>
      </c>
      <c r="I5" s="17">
        <f t="shared" si="0"/>
        <v>2000</v>
      </c>
    </row>
    <row r="6" spans="1:9" x14ac:dyDescent="0.25">
      <c r="A6" s="38"/>
      <c r="B6" s="35"/>
      <c r="C6" s="36"/>
      <c r="D6" s="36"/>
      <c r="E6" s="37"/>
      <c r="F6" s="37"/>
      <c r="G6" s="5" t="s">
        <v>135</v>
      </c>
      <c r="H6" s="16">
        <v>19250</v>
      </c>
      <c r="I6" s="17">
        <f t="shared" si="0"/>
        <v>19250</v>
      </c>
    </row>
    <row r="7" spans="1:9" x14ac:dyDescent="0.25">
      <c r="A7" s="38"/>
      <c r="B7" s="35"/>
      <c r="C7" s="36"/>
      <c r="D7" s="36"/>
      <c r="E7" s="37"/>
      <c r="F7" s="37"/>
      <c r="G7" s="5" t="s">
        <v>167</v>
      </c>
      <c r="H7" s="16">
        <v>2778.37</v>
      </c>
      <c r="I7" s="17">
        <f t="shared" si="0"/>
        <v>2778.37</v>
      </c>
    </row>
    <row r="8" spans="1:9" x14ac:dyDescent="0.25">
      <c r="A8" s="38"/>
      <c r="B8" s="35"/>
      <c r="C8" s="36"/>
      <c r="D8" s="36"/>
      <c r="E8" s="37"/>
      <c r="F8" s="37"/>
      <c r="G8" s="5" t="s">
        <v>179</v>
      </c>
      <c r="H8" s="16">
        <v>1999</v>
      </c>
      <c r="I8" s="17">
        <f t="shared" si="0"/>
        <v>1999</v>
      </c>
    </row>
    <row r="9" spans="1:9" x14ac:dyDescent="0.25">
      <c r="A9" s="38"/>
      <c r="B9" s="35"/>
      <c r="C9" s="36"/>
      <c r="D9" s="36"/>
      <c r="E9" s="37"/>
      <c r="F9" s="37"/>
      <c r="G9" s="5" t="s">
        <v>180</v>
      </c>
      <c r="H9" s="16">
        <v>2798</v>
      </c>
      <c r="I9" s="17">
        <f t="shared" si="0"/>
        <v>2798</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48</v>
      </c>
      <c r="C3" s="36" t="s">
        <v>7</v>
      </c>
      <c r="D3" s="36">
        <v>1</v>
      </c>
      <c r="E3" s="37">
        <f>IF(C20&lt;=25%,D20,MIN(E20:F20))</f>
        <v>420.75</v>
      </c>
      <c r="F3" s="37">
        <f>MIN(H3:H17)</f>
        <v>259.99</v>
      </c>
      <c r="G3" s="5" t="s">
        <v>136</v>
      </c>
      <c r="H3" s="16">
        <v>277.01</v>
      </c>
      <c r="I3" s="17">
        <f>IF(H3="","",(IF($C$20&lt;25%,"n/a",IF(H3&lt;=($D$20+$A$20),H3,"Descartado"))))</f>
        <v>277.01</v>
      </c>
    </row>
    <row r="4" spans="1:9" x14ac:dyDescent="0.25">
      <c r="A4" s="38"/>
      <c r="B4" s="35"/>
      <c r="C4" s="36"/>
      <c r="D4" s="36"/>
      <c r="E4" s="37"/>
      <c r="F4" s="37"/>
      <c r="G4" s="5" t="s">
        <v>137</v>
      </c>
      <c r="H4" s="16">
        <v>319</v>
      </c>
      <c r="I4" s="17">
        <f t="shared" ref="I4:I17" si="0">IF(H4="","",(IF($C$20&lt;25%,"n/a",IF(H4&lt;=($D$20+$A$20),H4,"Descartado"))))</f>
        <v>319</v>
      </c>
    </row>
    <row r="5" spans="1:9" x14ac:dyDescent="0.25">
      <c r="A5" s="38"/>
      <c r="B5" s="35"/>
      <c r="C5" s="36"/>
      <c r="D5" s="36"/>
      <c r="E5" s="37"/>
      <c r="F5" s="37"/>
      <c r="G5" s="5" t="s">
        <v>138</v>
      </c>
      <c r="H5" s="16">
        <v>308.55</v>
      </c>
      <c r="I5" s="17">
        <f t="shared" si="0"/>
        <v>308.55</v>
      </c>
    </row>
    <row r="6" spans="1:9" x14ac:dyDescent="0.25">
      <c r="A6" s="38"/>
      <c r="B6" s="35"/>
      <c r="C6" s="36"/>
      <c r="D6" s="36"/>
      <c r="E6" s="37"/>
      <c r="F6" s="37"/>
      <c r="G6" s="5" t="s">
        <v>65</v>
      </c>
      <c r="H6" s="16">
        <v>637.03</v>
      </c>
      <c r="I6" s="17">
        <f t="shared" si="0"/>
        <v>637.03</v>
      </c>
    </row>
    <row r="7" spans="1:9" x14ac:dyDescent="0.25">
      <c r="A7" s="38"/>
      <c r="B7" s="35"/>
      <c r="C7" s="36"/>
      <c r="D7" s="36"/>
      <c r="E7" s="37"/>
      <c r="F7" s="37"/>
      <c r="G7" s="5" t="s">
        <v>139</v>
      </c>
      <c r="H7" s="16">
        <v>4678</v>
      </c>
      <c r="I7" s="17" t="str">
        <f t="shared" si="0"/>
        <v>Descartado</v>
      </c>
    </row>
    <row r="8" spans="1:9" x14ac:dyDescent="0.25">
      <c r="A8" s="38"/>
      <c r="B8" s="35"/>
      <c r="C8" s="36"/>
      <c r="D8" s="36"/>
      <c r="E8" s="37"/>
      <c r="F8" s="37"/>
      <c r="G8" s="5" t="s">
        <v>107</v>
      </c>
      <c r="H8" s="16">
        <v>573.75</v>
      </c>
      <c r="I8" s="17">
        <f t="shared" si="0"/>
        <v>573.75</v>
      </c>
    </row>
    <row r="9" spans="1:9" x14ac:dyDescent="0.25">
      <c r="A9" s="38"/>
      <c r="B9" s="35"/>
      <c r="C9" s="36"/>
      <c r="D9" s="36"/>
      <c r="E9" s="37"/>
      <c r="F9" s="37"/>
      <c r="G9" s="5" t="s">
        <v>175</v>
      </c>
      <c r="H9" s="16">
        <v>259.99</v>
      </c>
      <c r="I9" s="17">
        <f t="shared" si="0"/>
        <v>259.99</v>
      </c>
    </row>
    <row r="10" spans="1:9" x14ac:dyDescent="0.25">
      <c r="A10" s="38"/>
      <c r="B10" s="35"/>
      <c r="C10" s="36"/>
      <c r="D10" s="36"/>
      <c r="E10" s="37"/>
      <c r="F10" s="37"/>
      <c r="G10" s="5" t="s">
        <v>181</v>
      </c>
      <c r="H10" s="16">
        <v>569.91</v>
      </c>
      <c r="I10" s="17">
        <f t="shared" si="0"/>
        <v>569.91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49</v>
      </c>
      <c r="C3" s="36" t="s">
        <v>7</v>
      </c>
      <c r="D3" s="36">
        <v>1</v>
      </c>
      <c r="E3" s="37">
        <f>IF(C20&lt;=25%,D20,MIN(E20:F20))</f>
        <v>93.27</v>
      </c>
      <c r="F3" s="37">
        <f>MIN(H3:H17)</f>
        <v>31.88</v>
      </c>
      <c r="G3" s="5" t="s">
        <v>140</v>
      </c>
      <c r="H3" s="16">
        <v>60</v>
      </c>
      <c r="I3" s="17">
        <f>IF(H3="","",(IF($C$20&lt;25%,"n/a",IF(H3&lt;=($D$20+$A$20),H3,"Descartado"))))</f>
        <v>60</v>
      </c>
    </row>
    <row r="4" spans="1:9" x14ac:dyDescent="0.25">
      <c r="A4" s="38"/>
      <c r="B4" s="35"/>
      <c r="C4" s="36"/>
      <c r="D4" s="36"/>
      <c r="E4" s="37"/>
      <c r="F4" s="37"/>
      <c r="G4" s="5" t="s">
        <v>141</v>
      </c>
      <c r="H4" s="16">
        <v>212.4</v>
      </c>
      <c r="I4" s="17">
        <f t="shared" ref="I4:I17" si="0">IF(H4="","",(IF($C$20&lt;25%,"n/a",IF(H4&lt;=($D$20+$A$20),H4,"Descartado"))))</f>
        <v>212.4</v>
      </c>
    </row>
    <row r="5" spans="1:9" x14ac:dyDescent="0.25">
      <c r="A5" s="38"/>
      <c r="B5" s="35"/>
      <c r="C5" s="36"/>
      <c r="D5" s="36"/>
      <c r="E5" s="37"/>
      <c r="F5" s="37"/>
      <c r="G5" s="5" t="s">
        <v>142</v>
      </c>
      <c r="H5" s="16">
        <v>34.99</v>
      </c>
      <c r="I5" s="17">
        <f t="shared" si="0"/>
        <v>34.99</v>
      </c>
    </row>
    <row r="6" spans="1:9" x14ac:dyDescent="0.25">
      <c r="A6" s="38"/>
      <c r="B6" s="35"/>
      <c r="C6" s="36"/>
      <c r="D6" s="36"/>
      <c r="E6" s="37"/>
      <c r="F6" s="37"/>
      <c r="G6" s="5" t="s">
        <v>143</v>
      </c>
      <c r="H6" s="16">
        <v>31.88</v>
      </c>
      <c r="I6" s="17">
        <f t="shared" si="0"/>
        <v>31.88</v>
      </c>
    </row>
    <row r="7" spans="1:9" x14ac:dyDescent="0.25">
      <c r="A7" s="38"/>
      <c r="B7" s="35"/>
      <c r="C7" s="36"/>
      <c r="D7" s="36"/>
      <c r="E7" s="37"/>
      <c r="F7" s="37"/>
      <c r="G7" s="5" t="s">
        <v>144</v>
      </c>
      <c r="H7" s="16">
        <v>157</v>
      </c>
      <c r="I7" s="17">
        <f t="shared" si="0"/>
        <v>157</v>
      </c>
    </row>
    <row r="8" spans="1:9" x14ac:dyDescent="0.25">
      <c r="A8" s="38"/>
      <c r="B8" s="35"/>
      <c r="C8" s="36"/>
      <c r="D8" s="36"/>
      <c r="E8" s="37"/>
      <c r="F8" s="37"/>
      <c r="G8" s="5" t="s">
        <v>145</v>
      </c>
      <c r="H8" s="16">
        <v>32.08</v>
      </c>
      <c r="I8" s="17">
        <f t="shared" si="0"/>
        <v>32.08</v>
      </c>
    </row>
    <row r="9" spans="1:9" x14ac:dyDescent="0.25">
      <c r="A9" s="38"/>
      <c r="B9" s="35"/>
      <c r="C9" s="36"/>
      <c r="D9" s="36"/>
      <c r="E9" s="37"/>
      <c r="F9" s="37"/>
      <c r="G9" s="5" t="s">
        <v>146</v>
      </c>
      <c r="H9" s="16">
        <v>625.9</v>
      </c>
      <c r="I9" s="17" t="str">
        <f t="shared" si="0"/>
        <v>Descartado</v>
      </c>
    </row>
    <row r="10" spans="1:9" x14ac:dyDescent="0.25">
      <c r="A10" s="38"/>
      <c r="B10" s="35"/>
      <c r="C10" s="36"/>
      <c r="D10" s="36"/>
      <c r="E10" s="37"/>
      <c r="F10" s="37"/>
      <c r="G10" s="5" t="s">
        <v>175</v>
      </c>
      <c r="H10" s="16">
        <v>115.87</v>
      </c>
      <c r="I10" s="17">
        <f t="shared" si="0"/>
        <v>115.87</v>
      </c>
    </row>
    <row r="11" spans="1:9" x14ac:dyDescent="0.25">
      <c r="A11" s="38"/>
      <c r="B11" s="35"/>
      <c r="C11" s="36"/>
      <c r="D11" s="36"/>
      <c r="E11" s="37"/>
      <c r="F11" s="37"/>
      <c r="G11" s="5" t="s">
        <v>181</v>
      </c>
      <c r="H11" s="16">
        <v>101.9</v>
      </c>
      <c r="I11" s="17">
        <f t="shared" si="0"/>
        <v>101.9</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50</v>
      </c>
      <c r="C3" s="36" t="s">
        <v>7</v>
      </c>
      <c r="D3" s="36">
        <v>2</v>
      </c>
      <c r="E3" s="37">
        <f>IF(C20&lt;=25%,D20,MIN(E20:F20))</f>
        <v>741.85</v>
      </c>
      <c r="F3" s="37">
        <f>MIN(H3:H17)</f>
        <v>569.99</v>
      </c>
      <c r="G3" s="5" t="s">
        <v>175</v>
      </c>
      <c r="H3" s="16">
        <v>1096.79</v>
      </c>
      <c r="I3" s="17" t="str">
        <f>IF(H3="","",(IF($C$20&lt;25%,"n/a",IF(H3&lt;=($D$20+$A$20),H3,"Descartado"))))</f>
        <v>Descartado</v>
      </c>
    </row>
    <row r="4" spans="1:9" x14ac:dyDescent="0.25">
      <c r="A4" s="38"/>
      <c r="B4" s="35"/>
      <c r="C4" s="36"/>
      <c r="D4" s="36"/>
      <c r="E4" s="37"/>
      <c r="F4" s="37"/>
      <c r="G4" s="5" t="s">
        <v>168</v>
      </c>
      <c r="H4" s="16">
        <v>998.9</v>
      </c>
      <c r="I4" s="17">
        <f t="shared" ref="I4:I17" si="0">IF(H4="","",(IF($C$20&lt;25%,"n/a",IF(H4&lt;=($D$20+$A$20),H4,"Descartado"))))</f>
        <v>998.9</v>
      </c>
    </row>
    <row r="5" spans="1:9" x14ac:dyDescent="0.25">
      <c r="A5" s="38"/>
      <c r="B5" s="35"/>
      <c r="C5" s="36"/>
      <c r="D5" s="36"/>
      <c r="E5" s="37"/>
      <c r="F5" s="37"/>
      <c r="G5" s="5" t="s">
        <v>182</v>
      </c>
      <c r="H5" s="16">
        <v>569.99</v>
      </c>
      <c r="I5" s="17">
        <f t="shared" si="0"/>
        <v>569.99</v>
      </c>
    </row>
    <row r="6" spans="1:9" x14ac:dyDescent="0.25">
      <c r="A6" s="38"/>
      <c r="B6" s="35"/>
      <c r="C6" s="36"/>
      <c r="D6" s="36"/>
      <c r="E6" s="37"/>
      <c r="F6" s="37"/>
      <c r="G6" s="5" t="s">
        <v>183</v>
      </c>
      <c r="H6" s="16">
        <v>599</v>
      </c>
      <c r="I6" s="17">
        <f t="shared" si="0"/>
        <v>599</v>
      </c>
    </row>
    <row r="7" spans="1:9" x14ac:dyDescent="0.25">
      <c r="A7" s="38"/>
      <c r="B7" s="35"/>
      <c r="C7" s="36"/>
      <c r="D7" s="36"/>
      <c r="E7" s="37"/>
      <c r="F7" s="37"/>
      <c r="G7" s="5" t="s">
        <v>184</v>
      </c>
      <c r="H7" s="16">
        <v>799.49</v>
      </c>
      <c r="I7" s="17">
        <f t="shared" si="0"/>
        <v>799.49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5" sqref="G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204</v>
      </c>
      <c r="C3" s="36" t="s">
        <v>7</v>
      </c>
      <c r="D3" s="36">
        <v>2</v>
      </c>
      <c r="E3" s="37">
        <f>IF(C20&lt;=25%,D20,MIN(E20:F20))</f>
        <v>5850.83</v>
      </c>
      <c r="F3" s="37">
        <f>MIN(H3:H17)</f>
        <v>4890</v>
      </c>
      <c r="G3" s="5" t="s">
        <v>209</v>
      </c>
      <c r="H3" s="16">
        <v>5433.33</v>
      </c>
      <c r="I3" s="17">
        <f>IF(H3="","",(IF($C$20&lt;25%,"n/a",IF(H3&lt;=($D$20+$A$20),H3,"Descartado"))))</f>
        <v>5433.33</v>
      </c>
    </row>
    <row r="4" spans="1:9" x14ac:dyDescent="0.25">
      <c r="A4" s="38"/>
      <c r="B4" s="35"/>
      <c r="C4" s="36"/>
      <c r="D4" s="36"/>
      <c r="E4" s="37"/>
      <c r="F4" s="37"/>
      <c r="G4" s="5" t="s">
        <v>214</v>
      </c>
      <c r="H4" s="16">
        <v>4890</v>
      </c>
      <c r="I4" s="17">
        <f t="shared" ref="I4:I17" si="0">IF(H4="","",(IF($C$20&lt;25%,"n/a",IF(H4&lt;=($D$20+$A$20),H4,"Descartado"))))</f>
        <v>4890</v>
      </c>
    </row>
    <row r="5" spans="1:9" x14ac:dyDescent="0.25">
      <c r="A5" s="38"/>
      <c r="B5" s="35"/>
      <c r="C5" s="36"/>
      <c r="D5" s="36"/>
      <c r="E5" s="37"/>
      <c r="F5" s="37"/>
      <c r="G5" s="5" t="s">
        <v>211</v>
      </c>
      <c r="H5" s="16">
        <v>6900</v>
      </c>
      <c r="I5" s="17">
        <f t="shared" si="0"/>
        <v>6900</v>
      </c>
    </row>
    <row r="6" spans="1:9" x14ac:dyDescent="0.25">
      <c r="A6" s="38"/>
      <c r="B6" s="35"/>
      <c r="C6" s="36"/>
      <c r="D6" s="36"/>
      <c r="E6" s="37"/>
      <c r="F6" s="37"/>
      <c r="G6" s="5" t="s">
        <v>212</v>
      </c>
      <c r="H6" s="16">
        <v>14000</v>
      </c>
      <c r="I6" s="17" t="str">
        <f t="shared" si="0"/>
        <v>Descartado</v>
      </c>
    </row>
    <row r="7" spans="1:9" x14ac:dyDescent="0.25">
      <c r="A7" s="38"/>
      <c r="B7" s="35"/>
      <c r="C7" s="36"/>
      <c r="D7" s="36"/>
      <c r="E7" s="37"/>
      <c r="F7" s="37"/>
      <c r="G7" s="5" t="s">
        <v>213</v>
      </c>
      <c r="H7" s="16">
        <v>6180</v>
      </c>
      <c r="I7" s="17">
        <f t="shared" si="0"/>
        <v>6180</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3722.6924352919614</v>
      </c>
      <c r="B20" s="8">
        <f>COUNT(H3:H17)</f>
        <v>5</v>
      </c>
      <c r="C20" s="9">
        <f>IF(B20&lt;2,"n/a",(A20/D20))</f>
        <v>0.49764157960342609</v>
      </c>
      <c r="D20" s="10">
        <f>IFERROR(ROUND(AVERAGE(H3:H17),2),"")</f>
        <v>7480.67</v>
      </c>
      <c r="E20" s="15">
        <f>IFERROR(ROUND(IF(B20&lt;2,"n/a",(IF(C20&lt;=25%,"n/a",AVERAGE(I3:I17)))),2),"n/a")</f>
        <v>5850.83</v>
      </c>
      <c r="F20" s="10">
        <f>IFERROR(ROUND(MEDIAN(H3:H17),2),"")</f>
        <v>6180</v>
      </c>
      <c r="G20" s="11" t="str">
        <f>IFERROR(INDEX(G3:G17,MATCH(H20,H3:H17,0)),"")</f>
        <v>ARMAS RIO PRETO</v>
      </c>
      <c r="H20" s="12">
        <f>F3</f>
        <v>4890</v>
      </c>
    </row>
    <row r="22" spans="1:9" x14ac:dyDescent="0.25">
      <c r="G22" s="13" t="s">
        <v>20</v>
      </c>
      <c r="H22" s="14">
        <f>IF(C20&lt;=25%,D20,MIN(E20:F20))</f>
        <v>5850.83</v>
      </c>
    </row>
    <row r="23" spans="1:9" x14ac:dyDescent="0.25">
      <c r="G23" s="13" t="s">
        <v>6</v>
      </c>
      <c r="H23" s="14">
        <f>ROUND(H22,2)*D3</f>
        <v>11701.66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51</v>
      </c>
      <c r="C3" s="36" t="s">
        <v>7</v>
      </c>
      <c r="D3" s="36">
        <v>8</v>
      </c>
      <c r="E3" s="37">
        <f>IF(C20&lt;=25%,D20,MIN(E20:F20))</f>
        <v>1288.28</v>
      </c>
      <c r="F3" s="37">
        <f>MIN(H3:H17)</f>
        <v>990</v>
      </c>
      <c r="G3" s="5" t="s">
        <v>185</v>
      </c>
      <c r="H3" s="16">
        <v>990</v>
      </c>
      <c r="I3" s="17" t="str">
        <f>IF(H3="","",(IF($C$20&lt;25%,"n/a",IF(H3&lt;=($D$20+$A$20),H3,"Descartado"))))</f>
        <v>n/a</v>
      </c>
    </row>
    <row r="4" spans="1:9" x14ac:dyDescent="0.25">
      <c r="A4" s="38"/>
      <c r="B4" s="35"/>
      <c r="C4" s="36"/>
      <c r="D4" s="36"/>
      <c r="E4" s="37"/>
      <c r="F4" s="37"/>
      <c r="G4" s="5" t="s">
        <v>186</v>
      </c>
      <c r="H4" s="16">
        <v>1399</v>
      </c>
      <c r="I4" s="17" t="str">
        <f t="shared" ref="I4:I17" si="0">IF(H4="","",(IF($C$20&lt;25%,"n/a",IF(H4&lt;=($D$20+$A$20),H4,"Descartado"))))</f>
        <v>n/a</v>
      </c>
    </row>
    <row r="5" spans="1:9" x14ac:dyDescent="0.25">
      <c r="A5" s="38"/>
      <c r="B5" s="35"/>
      <c r="C5" s="36"/>
      <c r="D5" s="36"/>
      <c r="E5" s="37"/>
      <c r="F5" s="37"/>
      <c r="G5" s="5" t="s">
        <v>187</v>
      </c>
      <c r="H5" s="16">
        <v>1265.0999999999999</v>
      </c>
      <c r="I5" s="17" t="str">
        <f t="shared" si="0"/>
        <v>n/a</v>
      </c>
    </row>
    <row r="6" spans="1:9" x14ac:dyDescent="0.25">
      <c r="A6" s="38"/>
      <c r="B6" s="35"/>
      <c r="C6" s="36"/>
      <c r="D6" s="36"/>
      <c r="E6" s="37"/>
      <c r="F6" s="37"/>
      <c r="G6" s="5" t="s">
        <v>188</v>
      </c>
      <c r="H6" s="16">
        <v>1499</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52</v>
      </c>
      <c r="C3" s="36" t="s">
        <v>7</v>
      </c>
      <c r="D3" s="36">
        <v>2</v>
      </c>
      <c r="E3" s="37">
        <f>IF(C20&lt;=25%,D20,MIN(E20:F20))</f>
        <v>454.84</v>
      </c>
      <c r="F3" s="37">
        <f>MIN(H3:H17)</f>
        <v>136</v>
      </c>
      <c r="G3" s="5" t="s">
        <v>147</v>
      </c>
      <c r="H3" s="16">
        <v>136</v>
      </c>
      <c r="I3" s="17">
        <f>IF(H3="","",(IF($C$20&lt;25%,"n/a",IF(H3&lt;=($D$20+$A$20),H3,"Descartado"))))</f>
        <v>136</v>
      </c>
    </row>
    <row r="4" spans="1:9" x14ac:dyDescent="0.25">
      <c r="A4" s="38"/>
      <c r="B4" s="35"/>
      <c r="C4" s="36"/>
      <c r="D4" s="36"/>
      <c r="E4" s="37"/>
      <c r="F4" s="37"/>
      <c r="G4" s="5" t="s">
        <v>148</v>
      </c>
      <c r="H4" s="16">
        <v>200</v>
      </c>
      <c r="I4" s="17">
        <f t="shared" ref="I4:I17" si="0">IF(H4="","",(IF($C$20&lt;25%,"n/a",IF(H4&lt;=($D$20+$A$20),H4,"Descartado"))))</f>
        <v>200</v>
      </c>
    </row>
    <row r="5" spans="1:9" x14ac:dyDescent="0.25">
      <c r="A5" s="38"/>
      <c r="B5" s="35"/>
      <c r="C5" s="36"/>
      <c r="D5" s="36"/>
      <c r="E5" s="37"/>
      <c r="F5" s="37"/>
      <c r="G5" s="5" t="s">
        <v>149</v>
      </c>
      <c r="H5" s="16">
        <v>300.99</v>
      </c>
      <c r="I5" s="17">
        <f t="shared" si="0"/>
        <v>300.99</v>
      </c>
    </row>
    <row r="6" spans="1:9" x14ac:dyDescent="0.25">
      <c r="A6" s="38"/>
      <c r="B6" s="35"/>
      <c r="C6" s="36"/>
      <c r="D6" s="36"/>
      <c r="E6" s="37"/>
      <c r="F6" s="37"/>
      <c r="G6" s="5" t="s">
        <v>150</v>
      </c>
      <c r="H6" s="16">
        <v>455</v>
      </c>
      <c r="I6" s="17">
        <f t="shared" si="0"/>
        <v>455</v>
      </c>
    </row>
    <row r="7" spans="1:9" x14ac:dyDescent="0.25">
      <c r="A7" s="38"/>
      <c r="B7" s="35"/>
      <c r="C7" s="36"/>
      <c r="D7" s="36"/>
      <c r="E7" s="37"/>
      <c r="F7" s="37"/>
      <c r="G7" s="5" t="s">
        <v>75</v>
      </c>
      <c r="H7" s="16">
        <v>554</v>
      </c>
      <c r="I7" s="17">
        <f t="shared" si="0"/>
        <v>554</v>
      </c>
    </row>
    <row r="8" spans="1:9" x14ac:dyDescent="0.25">
      <c r="A8" s="38"/>
      <c r="B8" s="35"/>
      <c r="C8" s="36"/>
      <c r="D8" s="36"/>
      <c r="E8" s="37"/>
      <c r="F8" s="37"/>
      <c r="G8" s="5" t="s">
        <v>130</v>
      </c>
      <c r="H8" s="16">
        <v>650.94000000000005</v>
      </c>
      <c r="I8" s="17">
        <f t="shared" si="0"/>
        <v>650.94000000000005</v>
      </c>
    </row>
    <row r="9" spans="1:9" x14ac:dyDescent="0.25">
      <c r="A9" s="38"/>
      <c r="B9" s="35"/>
      <c r="C9" s="36"/>
      <c r="D9" s="36"/>
      <c r="E9" s="37"/>
      <c r="F9" s="37"/>
      <c r="G9" s="5" t="s">
        <v>151</v>
      </c>
      <c r="H9" s="16">
        <v>683.75</v>
      </c>
      <c r="I9" s="17">
        <f t="shared" si="0"/>
        <v>683.75</v>
      </c>
    </row>
    <row r="10" spans="1:9" x14ac:dyDescent="0.25">
      <c r="A10" s="38"/>
      <c r="B10" s="35"/>
      <c r="C10" s="36"/>
      <c r="D10" s="36"/>
      <c r="E10" s="37"/>
      <c r="F10" s="37"/>
      <c r="G10" s="5" t="s">
        <v>152</v>
      </c>
      <c r="H10" s="16">
        <v>687</v>
      </c>
      <c r="I10" s="17">
        <f t="shared" si="0"/>
        <v>687</v>
      </c>
    </row>
    <row r="11" spans="1:9" x14ac:dyDescent="0.25">
      <c r="A11" s="38"/>
      <c r="B11" s="35"/>
      <c r="C11" s="36"/>
      <c r="D11" s="36"/>
      <c r="E11" s="37"/>
      <c r="F11" s="37"/>
      <c r="G11" s="5" t="s">
        <v>189</v>
      </c>
      <c r="H11" s="16">
        <v>565.11</v>
      </c>
      <c r="I11" s="17">
        <f t="shared" si="0"/>
        <v>565.11</v>
      </c>
    </row>
    <row r="12" spans="1:9" x14ac:dyDescent="0.25">
      <c r="A12" s="38"/>
      <c r="B12" s="35"/>
      <c r="C12" s="36"/>
      <c r="D12" s="36"/>
      <c r="E12" s="37"/>
      <c r="F12" s="37"/>
      <c r="G12" s="5" t="s">
        <v>165</v>
      </c>
      <c r="H12" s="16">
        <v>750</v>
      </c>
      <c r="I12" s="17" t="str">
        <f t="shared" si="0"/>
        <v>Descartado</v>
      </c>
    </row>
    <row r="13" spans="1:9" x14ac:dyDescent="0.25">
      <c r="A13" s="38"/>
      <c r="B13" s="35"/>
      <c r="C13" s="36"/>
      <c r="D13" s="36"/>
      <c r="E13" s="37"/>
      <c r="F13" s="37"/>
      <c r="G13" s="5" t="s">
        <v>190</v>
      </c>
      <c r="H13" s="16">
        <v>197.99</v>
      </c>
      <c r="I13" s="17">
        <f t="shared" si="0"/>
        <v>197.99</v>
      </c>
    </row>
    <row r="14" spans="1:9" x14ac:dyDescent="0.25">
      <c r="A14" s="38"/>
      <c r="B14" s="35"/>
      <c r="C14" s="36"/>
      <c r="D14" s="36"/>
      <c r="E14" s="37"/>
      <c r="F14" s="37"/>
      <c r="G14" s="5" t="s">
        <v>191</v>
      </c>
      <c r="H14" s="16">
        <v>572.5</v>
      </c>
      <c r="I14" s="17">
        <f t="shared" si="0"/>
        <v>572.5</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53</v>
      </c>
      <c r="C3" s="36" t="s">
        <v>7</v>
      </c>
      <c r="D3" s="36">
        <v>15</v>
      </c>
      <c r="E3" s="37">
        <f>IF(C20&lt;=25%,D20,MIN(E20:F20))</f>
        <v>1692.18</v>
      </c>
      <c r="F3" s="37">
        <f>MIN(H3:H17)</f>
        <v>900.9</v>
      </c>
      <c r="G3" s="5" t="s">
        <v>125</v>
      </c>
      <c r="H3" s="16">
        <v>900.9</v>
      </c>
      <c r="I3" s="17">
        <f>IF(H3="","",(IF($C$20&lt;25%,"n/a",IF(H3&lt;=($D$20+$A$20),H3,"Descartado"))))</f>
        <v>900.9</v>
      </c>
    </row>
    <row r="4" spans="1:9" x14ac:dyDescent="0.25">
      <c r="A4" s="38"/>
      <c r="B4" s="35"/>
      <c r="C4" s="36"/>
      <c r="D4" s="36"/>
      <c r="E4" s="37"/>
      <c r="F4" s="37"/>
      <c r="G4" s="5" t="s">
        <v>153</v>
      </c>
      <c r="H4" s="16">
        <v>1650</v>
      </c>
      <c r="I4" s="17">
        <f t="shared" ref="I4:I17" si="0">IF(H4="","",(IF($C$20&lt;25%,"n/a",IF(H4&lt;=($D$20+$A$20),H4,"Descartado"))))</f>
        <v>1650</v>
      </c>
    </row>
    <row r="5" spans="1:9" x14ac:dyDescent="0.25">
      <c r="A5" s="38"/>
      <c r="B5" s="35"/>
      <c r="C5" s="36"/>
      <c r="D5" s="36"/>
      <c r="E5" s="37"/>
      <c r="F5" s="37"/>
      <c r="G5" s="5" t="s">
        <v>134</v>
      </c>
      <c r="H5" s="16">
        <v>2399</v>
      </c>
      <c r="I5" s="17">
        <f t="shared" si="0"/>
        <v>2399</v>
      </c>
    </row>
    <row r="6" spans="1:9" x14ac:dyDescent="0.25">
      <c r="A6" s="38"/>
      <c r="B6" s="35"/>
      <c r="C6" s="36"/>
      <c r="D6" s="36"/>
      <c r="E6" s="37"/>
      <c r="F6" s="37"/>
      <c r="G6" s="5" t="s">
        <v>154</v>
      </c>
      <c r="H6" s="16">
        <v>3034</v>
      </c>
      <c r="I6" s="17" t="str">
        <f t="shared" si="0"/>
        <v>Descartado</v>
      </c>
    </row>
    <row r="7" spans="1:9" x14ac:dyDescent="0.25">
      <c r="A7" s="38"/>
      <c r="B7" s="35"/>
      <c r="C7" s="36"/>
      <c r="D7" s="36"/>
      <c r="E7" s="37"/>
      <c r="F7" s="37"/>
      <c r="G7" s="5" t="s">
        <v>192</v>
      </c>
      <c r="H7" s="16">
        <v>2019</v>
      </c>
      <c r="I7" s="17">
        <f t="shared" si="0"/>
        <v>2019</v>
      </c>
    </row>
    <row r="8" spans="1:9" x14ac:dyDescent="0.25">
      <c r="A8" s="38"/>
      <c r="B8" s="35"/>
      <c r="C8" s="36"/>
      <c r="D8" s="36"/>
      <c r="E8" s="37"/>
      <c r="F8" s="37"/>
      <c r="G8" s="5" t="s">
        <v>193</v>
      </c>
      <c r="H8" s="16">
        <v>1492</v>
      </c>
      <c r="I8" s="17">
        <f t="shared" si="0"/>
        <v>1492</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54</v>
      </c>
      <c r="C3" s="36" t="s">
        <v>7</v>
      </c>
      <c r="D3" s="36">
        <v>1</v>
      </c>
      <c r="E3" s="37">
        <f>IF(C20&lt;=25%,D20,MIN(E20:F20))</f>
        <v>2269.12</v>
      </c>
      <c r="F3" s="37">
        <f>MIN(H3:H17)</f>
        <v>1299</v>
      </c>
      <c r="G3" s="5" t="s">
        <v>155</v>
      </c>
      <c r="H3" s="16">
        <v>1299</v>
      </c>
      <c r="I3" s="17">
        <f>IF(H3="","",(IF($C$20&lt;25%,"n/a",IF(H3&lt;=($D$20+$A$20),H3,"Descartado"))))</f>
        <v>1299</v>
      </c>
    </row>
    <row r="4" spans="1:9" x14ac:dyDescent="0.25">
      <c r="A4" s="38"/>
      <c r="B4" s="35"/>
      <c r="C4" s="36"/>
      <c r="D4" s="36"/>
      <c r="E4" s="37"/>
      <c r="F4" s="37"/>
      <c r="G4" s="5" t="s">
        <v>96</v>
      </c>
      <c r="H4" s="16">
        <v>1689</v>
      </c>
      <c r="I4" s="17">
        <f t="shared" ref="I4:I17" si="0">IF(H4="","",(IF($C$20&lt;25%,"n/a",IF(H4&lt;=($D$20+$A$20),H4,"Descartado"))))</f>
        <v>1689</v>
      </c>
    </row>
    <row r="5" spans="1:9" x14ac:dyDescent="0.25">
      <c r="A5" s="38"/>
      <c r="B5" s="35"/>
      <c r="C5" s="36"/>
      <c r="D5" s="36"/>
      <c r="E5" s="37"/>
      <c r="F5" s="37"/>
      <c r="G5" s="5" t="s">
        <v>127</v>
      </c>
      <c r="H5" s="16">
        <v>4779.97</v>
      </c>
      <c r="I5" s="17" t="str">
        <f t="shared" si="0"/>
        <v>Descartado</v>
      </c>
    </row>
    <row r="6" spans="1:9" x14ac:dyDescent="0.25">
      <c r="A6" s="38"/>
      <c r="B6" s="35"/>
      <c r="C6" s="36"/>
      <c r="D6" s="36"/>
      <c r="E6" s="37"/>
      <c r="F6" s="37"/>
      <c r="G6" s="5" t="s">
        <v>156</v>
      </c>
      <c r="H6" s="16">
        <v>4768</v>
      </c>
      <c r="I6" s="17" t="str">
        <f t="shared" si="0"/>
        <v>Descartado</v>
      </c>
    </row>
    <row r="7" spans="1:9" x14ac:dyDescent="0.25">
      <c r="A7" s="38"/>
      <c r="B7" s="35"/>
      <c r="C7" s="36"/>
      <c r="D7" s="36"/>
      <c r="E7" s="37"/>
      <c r="F7" s="37"/>
      <c r="G7" s="5" t="s">
        <v>194</v>
      </c>
      <c r="H7" s="16">
        <v>2249.1</v>
      </c>
      <c r="I7" s="17">
        <f t="shared" si="0"/>
        <v>2249.1</v>
      </c>
    </row>
    <row r="8" spans="1:9" x14ac:dyDescent="0.25">
      <c r="A8" s="38"/>
      <c r="B8" s="35"/>
      <c r="C8" s="36"/>
      <c r="D8" s="36"/>
      <c r="E8" s="37"/>
      <c r="F8" s="37"/>
      <c r="G8" s="5" t="s">
        <v>195</v>
      </c>
      <c r="H8" s="16">
        <v>2554.9899999999998</v>
      </c>
      <c r="I8" s="17">
        <f t="shared" si="0"/>
        <v>2554.9899999999998</v>
      </c>
    </row>
    <row r="9" spans="1:9" x14ac:dyDescent="0.25">
      <c r="A9" s="38"/>
      <c r="B9" s="35"/>
      <c r="C9" s="36"/>
      <c r="D9" s="36"/>
      <c r="E9" s="37"/>
      <c r="F9" s="37"/>
      <c r="G9" s="5" t="s">
        <v>196</v>
      </c>
      <c r="H9" s="16">
        <v>4045.24</v>
      </c>
      <c r="I9" s="17">
        <f t="shared" si="0"/>
        <v>4045.24</v>
      </c>
    </row>
    <row r="10" spans="1:9" x14ac:dyDescent="0.25">
      <c r="A10" s="38"/>
      <c r="B10" s="35"/>
      <c r="C10" s="36"/>
      <c r="D10" s="36"/>
      <c r="E10" s="37"/>
      <c r="F10" s="37"/>
      <c r="G10" s="5" t="s">
        <v>197</v>
      </c>
      <c r="H10" s="16">
        <v>1777.41</v>
      </c>
      <c r="I10" s="17">
        <f t="shared" si="0"/>
        <v>1777.41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55</v>
      </c>
      <c r="C3" s="36" t="s">
        <v>7</v>
      </c>
      <c r="D3" s="36">
        <v>6</v>
      </c>
      <c r="E3" s="37">
        <f>IF(C20&lt;=25%,D20,MIN(E20:F20))</f>
        <v>150.47</v>
      </c>
      <c r="F3" s="37">
        <f>MIN(H3:H17)</f>
        <v>116.55</v>
      </c>
      <c r="G3" s="5" t="s">
        <v>175</v>
      </c>
      <c r="H3" s="16">
        <v>116.55</v>
      </c>
      <c r="I3" s="17" t="str">
        <f>IF(H3="","",(IF($C$20&lt;25%,"n/a",IF(H3&lt;=($D$20+$A$20),H3,"Descartado"))))</f>
        <v>n/a</v>
      </c>
    </row>
    <row r="4" spans="1:9" x14ac:dyDescent="0.25">
      <c r="A4" s="38"/>
      <c r="B4" s="35"/>
      <c r="C4" s="36"/>
      <c r="D4" s="36"/>
      <c r="E4" s="37"/>
      <c r="F4" s="37"/>
      <c r="G4" s="5" t="s">
        <v>181</v>
      </c>
      <c r="H4" s="16">
        <v>189.9</v>
      </c>
      <c r="I4" s="17" t="str">
        <f t="shared" ref="I4:I17" si="0">IF(H4="","",(IF($C$20&lt;25%,"n/a",IF(H4&lt;=($D$20+$A$20),H4,"Descartado"))))</f>
        <v>n/a</v>
      </c>
    </row>
    <row r="5" spans="1:9" x14ac:dyDescent="0.25">
      <c r="A5" s="38"/>
      <c r="B5" s="35"/>
      <c r="C5" s="36"/>
      <c r="D5" s="36"/>
      <c r="E5" s="37"/>
      <c r="F5" s="37"/>
      <c r="G5" s="5" t="s">
        <v>198</v>
      </c>
      <c r="H5" s="16">
        <v>144.94999999999999</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56</v>
      </c>
      <c r="C3" s="36" t="s">
        <v>7</v>
      </c>
      <c r="D3" s="36">
        <v>2</v>
      </c>
      <c r="E3" s="37">
        <f>IF(C20&lt;=25%,D20,MIN(E20:F20))</f>
        <v>701.53</v>
      </c>
      <c r="F3" s="37">
        <f>MIN(H3:H17)</f>
        <v>549</v>
      </c>
      <c r="G3" s="5" t="s">
        <v>199</v>
      </c>
      <c r="H3" s="16">
        <v>549</v>
      </c>
      <c r="I3" s="17">
        <f>IF(H3="","",(IF($C$20&lt;25%,"n/a",IF(H3&lt;=($D$20+$A$20),H3,"Descartado"))))</f>
        <v>549</v>
      </c>
    </row>
    <row r="4" spans="1:9" x14ac:dyDescent="0.25">
      <c r="A4" s="38"/>
      <c r="B4" s="35"/>
      <c r="C4" s="36"/>
      <c r="D4" s="36"/>
      <c r="E4" s="37"/>
      <c r="F4" s="37"/>
      <c r="G4" s="5" t="s">
        <v>175</v>
      </c>
      <c r="H4" s="16">
        <v>679.9</v>
      </c>
      <c r="I4" s="17">
        <f t="shared" ref="I4:I17" si="0">IF(H4="","",(IF($C$20&lt;25%,"n/a",IF(H4&lt;=($D$20+$A$20),H4,"Descartado"))))</f>
        <v>679.9</v>
      </c>
    </row>
    <row r="5" spans="1:9" x14ac:dyDescent="0.25">
      <c r="A5" s="38"/>
      <c r="B5" s="35"/>
      <c r="C5" s="36"/>
      <c r="D5" s="36"/>
      <c r="E5" s="37"/>
      <c r="F5" s="37"/>
      <c r="G5" s="5" t="s">
        <v>168</v>
      </c>
      <c r="H5" s="16">
        <v>998</v>
      </c>
      <c r="I5" s="17" t="str">
        <f t="shared" si="0"/>
        <v>Descartado</v>
      </c>
    </row>
    <row r="6" spans="1:9" x14ac:dyDescent="0.25">
      <c r="A6" s="38"/>
      <c r="B6" s="35"/>
      <c r="C6" s="36"/>
      <c r="D6" s="36"/>
      <c r="E6" s="37"/>
      <c r="F6" s="37"/>
      <c r="G6" s="5" t="s">
        <v>200</v>
      </c>
      <c r="H6" s="16">
        <v>875.69</v>
      </c>
      <c r="I6" s="17">
        <f t="shared" si="0"/>
        <v>875.69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57</v>
      </c>
      <c r="C3" s="36" t="s">
        <v>7</v>
      </c>
      <c r="D3" s="36">
        <v>4</v>
      </c>
      <c r="E3" s="37">
        <f>IF(C20&lt;=25%,D20,MIN(E20:F20))</f>
        <v>314.5</v>
      </c>
      <c r="F3" s="37">
        <f>MIN(H3:H17)</f>
        <v>149.97</v>
      </c>
      <c r="G3" s="5" t="s">
        <v>157</v>
      </c>
      <c r="H3" s="16">
        <v>1257</v>
      </c>
      <c r="I3" s="17" t="str">
        <f>IF(H3="","",(IF($C$20&lt;25%,"n/a",IF(H3&lt;=($D$20+$A$20),H3,"Descartado"))))</f>
        <v>Descartado</v>
      </c>
    </row>
    <row r="4" spans="1:9" x14ac:dyDescent="0.25">
      <c r="A4" s="38"/>
      <c r="B4" s="35"/>
      <c r="C4" s="36"/>
      <c r="D4" s="36"/>
      <c r="E4" s="37"/>
      <c r="F4" s="37"/>
      <c r="G4" s="5" t="s">
        <v>96</v>
      </c>
      <c r="H4" s="16">
        <v>160</v>
      </c>
      <c r="I4" s="17">
        <f t="shared" ref="I4:I17" si="0">IF(H4="","",(IF($C$20&lt;25%,"n/a",IF(H4&lt;=($D$20+$A$20),H4,"Descartado"))))</f>
        <v>160</v>
      </c>
    </row>
    <row r="5" spans="1:9" x14ac:dyDescent="0.25">
      <c r="A5" s="38"/>
      <c r="B5" s="35"/>
      <c r="C5" s="36"/>
      <c r="D5" s="36"/>
      <c r="E5" s="37"/>
      <c r="F5" s="37"/>
      <c r="G5" s="5" t="s">
        <v>158</v>
      </c>
      <c r="H5" s="16">
        <v>330</v>
      </c>
      <c r="I5" s="17">
        <f t="shared" si="0"/>
        <v>330</v>
      </c>
    </row>
    <row r="6" spans="1:9" x14ac:dyDescent="0.25">
      <c r="A6" s="38"/>
      <c r="B6" s="35"/>
      <c r="C6" s="36"/>
      <c r="D6" s="36"/>
      <c r="E6" s="37"/>
      <c r="F6" s="37"/>
      <c r="G6" s="5" t="s">
        <v>104</v>
      </c>
      <c r="H6" s="16">
        <v>259</v>
      </c>
      <c r="I6" s="17">
        <f t="shared" si="0"/>
        <v>259</v>
      </c>
    </row>
    <row r="7" spans="1:9" x14ac:dyDescent="0.25">
      <c r="A7" s="38"/>
      <c r="B7" s="35"/>
      <c r="C7" s="36"/>
      <c r="D7" s="36"/>
      <c r="E7" s="37"/>
      <c r="F7" s="37"/>
      <c r="G7" s="5" t="s">
        <v>110</v>
      </c>
      <c r="H7" s="16">
        <v>1000</v>
      </c>
      <c r="I7" s="17">
        <f t="shared" si="0"/>
        <v>1000</v>
      </c>
    </row>
    <row r="8" spans="1:9" x14ac:dyDescent="0.25">
      <c r="A8" s="38"/>
      <c r="B8" s="35"/>
      <c r="C8" s="36"/>
      <c r="D8" s="36"/>
      <c r="E8" s="37"/>
      <c r="F8" s="37"/>
      <c r="G8" s="5" t="s">
        <v>159</v>
      </c>
      <c r="H8" s="16">
        <v>177.5</v>
      </c>
      <c r="I8" s="17">
        <f t="shared" si="0"/>
        <v>177.5</v>
      </c>
    </row>
    <row r="9" spans="1:9" x14ac:dyDescent="0.25">
      <c r="A9" s="38"/>
      <c r="B9" s="35"/>
      <c r="C9" s="36"/>
      <c r="D9" s="36"/>
      <c r="E9" s="37"/>
      <c r="F9" s="37"/>
      <c r="G9" s="5" t="s">
        <v>98</v>
      </c>
      <c r="H9" s="16">
        <v>160</v>
      </c>
      <c r="I9" s="17">
        <f t="shared" si="0"/>
        <v>160</v>
      </c>
    </row>
    <row r="10" spans="1:9" x14ac:dyDescent="0.25">
      <c r="A10" s="38"/>
      <c r="B10" s="35"/>
      <c r="C10" s="36"/>
      <c r="D10" s="36"/>
      <c r="E10" s="37"/>
      <c r="F10" s="37"/>
      <c r="G10" s="5" t="s">
        <v>160</v>
      </c>
      <c r="H10" s="16">
        <v>1342</v>
      </c>
      <c r="I10" s="17" t="str">
        <f t="shared" si="0"/>
        <v>Descartado</v>
      </c>
    </row>
    <row r="11" spans="1:9" x14ac:dyDescent="0.25">
      <c r="A11" s="38"/>
      <c r="B11" s="35"/>
      <c r="C11" s="36"/>
      <c r="D11" s="36"/>
      <c r="E11" s="37"/>
      <c r="F11" s="37"/>
      <c r="G11" s="5" t="s">
        <v>161</v>
      </c>
      <c r="H11" s="16">
        <v>1650</v>
      </c>
      <c r="I11" s="17" t="str">
        <f t="shared" si="0"/>
        <v>Descartado</v>
      </c>
    </row>
    <row r="12" spans="1:9" x14ac:dyDescent="0.25">
      <c r="A12" s="38"/>
      <c r="B12" s="35"/>
      <c r="C12" s="36"/>
      <c r="D12" s="36"/>
      <c r="E12" s="37"/>
      <c r="F12" s="37"/>
      <c r="G12" s="5" t="s">
        <v>129</v>
      </c>
      <c r="H12" s="16">
        <v>149.97</v>
      </c>
      <c r="I12" s="17">
        <f t="shared" si="0"/>
        <v>149.97</v>
      </c>
    </row>
    <row r="13" spans="1:9" x14ac:dyDescent="0.25">
      <c r="A13" s="38"/>
      <c r="B13" s="35"/>
      <c r="C13" s="36"/>
      <c r="D13" s="36"/>
      <c r="E13" s="37"/>
      <c r="F13" s="37"/>
      <c r="G13" s="5" t="s">
        <v>192</v>
      </c>
      <c r="H13" s="16">
        <v>299</v>
      </c>
      <c r="I13" s="17">
        <f t="shared" si="0"/>
        <v>299</v>
      </c>
    </row>
    <row r="14" spans="1:9" x14ac:dyDescent="0.25">
      <c r="A14" s="38"/>
      <c r="B14" s="35"/>
      <c r="C14" s="36"/>
      <c r="D14" s="36"/>
      <c r="E14" s="37"/>
      <c r="F14" s="37"/>
      <c r="G14" s="5" t="s">
        <v>201</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58</v>
      </c>
      <c r="C3" s="36" t="s">
        <v>7</v>
      </c>
      <c r="D3" s="36">
        <v>2</v>
      </c>
      <c r="E3" s="37">
        <f>IF(C20&lt;=25%,D20,MIN(E20:F20))</f>
        <v>2336.66</v>
      </c>
      <c r="F3" s="37">
        <f>MIN(H3:H17)</f>
        <v>985</v>
      </c>
      <c r="G3" s="5" t="s">
        <v>158</v>
      </c>
      <c r="H3" s="16">
        <v>985</v>
      </c>
      <c r="I3" s="17">
        <f>IF(H3="","",(IF($C$20&lt;25%,"n/a",IF(H3&lt;=($D$20+$A$20),H3,"Descartado"))))</f>
        <v>985</v>
      </c>
    </row>
    <row r="4" spans="1:9" x14ac:dyDescent="0.25">
      <c r="A4" s="38"/>
      <c r="B4" s="35"/>
      <c r="C4" s="36"/>
      <c r="D4" s="36"/>
      <c r="E4" s="37"/>
      <c r="F4" s="37"/>
      <c r="G4" s="5" t="s">
        <v>162</v>
      </c>
      <c r="H4" s="16">
        <v>1750</v>
      </c>
      <c r="I4" s="17">
        <f t="shared" ref="I4:I17" si="0">IF(H4="","",(IF($C$20&lt;25%,"n/a",IF(H4&lt;=($D$20+$A$20),H4,"Descartado"))))</f>
        <v>1750</v>
      </c>
    </row>
    <row r="5" spans="1:9" x14ac:dyDescent="0.25">
      <c r="A5" s="38"/>
      <c r="B5" s="35"/>
      <c r="C5" s="36"/>
      <c r="D5" s="36"/>
      <c r="E5" s="37"/>
      <c r="F5" s="37"/>
      <c r="G5" s="5" t="s">
        <v>163</v>
      </c>
      <c r="H5" s="16">
        <v>3775.12</v>
      </c>
      <c r="I5" s="17" t="str">
        <f t="shared" si="0"/>
        <v>Descartado</v>
      </c>
    </row>
    <row r="6" spans="1:9" x14ac:dyDescent="0.25">
      <c r="A6" s="38"/>
      <c r="B6" s="35"/>
      <c r="C6" s="36"/>
      <c r="D6" s="36"/>
      <c r="E6" s="37"/>
      <c r="F6" s="37"/>
      <c r="G6" s="5" t="s">
        <v>96</v>
      </c>
      <c r="H6" s="16">
        <v>1449.99</v>
      </c>
      <c r="I6" s="17">
        <f t="shared" si="0"/>
        <v>1449.99</v>
      </c>
    </row>
    <row r="7" spans="1:9" x14ac:dyDescent="0.25">
      <c r="A7" s="38"/>
      <c r="B7" s="35"/>
      <c r="C7" s="36"/>
      <c r="D7" s="36"/>
      <c r="E7" s="37"/>
      <c r="F7" s="37"/>
      <c r="G7" s="5" t="s">
        <v>124</v>
      </c>
      <c r="H7" s="16">
        <v>1738.77</v>
      </c>
      <c r="I7" s="17">
        <f t="shared" si="0"/>
        <v>1738.77</v>
      </c>
    </row>
    <row r="8" spans="1:9" x14ac:dyDescent="0.25">
      <c r="A8" s="38"/>
      <c r="B8" s="35"/>
      <c r="C8" s="36"/>
      <c r="D8" s="36"/>
      <c r="E8" s="37"/>
      <c r="F8" s="37"/>
      <c r="G8" s="5" t="s">
        <v>164</v>
      </c>
      <c r="H8" s="16">
        <v>2582</v>
      </c>
      <c r="I8" s="17">
        <f t="shared" si="0"/>
        <v>2582</v>
      </c>
    </row>
    <row r="9" spans="1:9" x14ac:dyDescent="0.25">
      <c r="A9" s="38"/>
      <c r="B9" s="35"/>
      <c r="C9" s="36"/>
      <c r="D9" s="36"/>
      <c r="E9" s="37"/>
      <c r="F9" s="37"/>
      <c r="G9" s="5" t="s">
        <v>202</v>
      </c>
      <c r="H9" s="16">
        <v>3179.25</v>
      </c>
      <c r="I9" s="17">
        <f t="shared" si="0"/>
        <v>3179.25</v>
      </c>
    </row>
    <row r="10" spans="1:9" x14ac:dyDescent="0.25">
      <c r="A10" s="38"/>
      <c r="B10" s="35"/>
      <c r="C10" s="36"/>
      <c r="D10" s="36"/>
      <c r="E10" s="37"/>
      <c r="F10" s="37"/>
      <c r="G10" s="5" t="s">
        <v>168</v>
      </c>
      <c r="H10" s="16">
        <v>3484.8</v>
      </c>
      <c r="I10" s="17">
        <f t="shared" si="0"/>
        <v>3484.8</v>
      </c>
    </row>
    <row r="11" spans="1:9" x14ac:dyDescent="0.25">
      <c r="A11" s="38"/>
      <c r="B11" s="35"/>
      <c r="C11" s="36"/>
      <c r="D11" s="36"/>
      <c r="E11" s="37"/>
      <c r="F11" s="37"/>
      <c r="G11" s="5" t="s">
        <v>200</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view="pageBreakPreview" zoomScaleNormal="100" zoomScaleSheetLayoutView="100" workbookViewId="0">
      <selection activeCell="C4" sqref="C4"/>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409.5" x14ac:dyDescent="0.25">
      <c r="A3" s="25" t="s">
        <v>59</v>
      </c>
      <c r="B3" s="25">
        <f>Item1!A3</f>
        <v>1</v>
      </c>
      <c r="C3" s="27" t="str">
        <f>Item1!B3</f>
        <v>Armamento de porte: Pistola 9x19mm (compacta), com carregadores reservas (Kit)
1. Especificações técnicas
1.1. Pistola, de porte, semi-automática, compacta;
1.2. Cor predominante: preta ou desert (coyote);
1.3. Calibre “9x19mm”;
1.4. Deverá vir acompanhada de no mínimo 03 (três) carregadores (um na arma e dois extras) com capacidade mínima de 15 munições/cartuchos, cada (Item 2.13);
1.5. Carcaça/punho em polímero com alças e alças intercambiáveis e texturizadas;
1.6. Trilho para acoplagem de acessórios, integrado ao frame (corpo da arma);
1.7. Cano dotado de estrias (raiamento), de sentido dextrógiro, com alma do tipo poligonal no eixo longitudinal (cantos arredondados), ou com sulcos tradicionais L&amp;G (canto vivo).
1.8. Comprimento do cano: Mínimo 95 mm e Máximo 114 mm;
1.9. Vida útil do cano de no mínimo 20.000 (vinte mil) disparos;
1.10. Comprimento máximo da arma 190 mm;
1.11. Comprimento mínimo da arma 170 mm;
1.12. Peso total da arma com carregador vazio: Mínimo 550 g e Máximo 828 g
1.13. Aparelho de Mira Fixa (pontaria) – Sistema triangular - alça / massa de mira - ou similar, com insertos de material auto luminescente (tritium) ou outra tecnologia superior disponível, com possibilidade de regulagem feita por armeiro; Para suportar uma aquisição de alvoconveniente e rápida os pontos circulares da alça e massa de mira devem ter pelo menos os diâmetros estandartes: massa da mira: mínimo de 1,9mm +/- 0,05mm; alça de mira: 1,9mm +/- 0,05mm.; as miras de tritio ou outra solução mais moderna devem ser desenhadas e produzidas de modo que a fonte luminosa de trítio ofereça pelo menos 10 anos de iluminação utilizável.
1.14. Sistema de funcionamento por Ação Striker Fire, sendo admitido o semitensionamento do percussor, desdeu que seu modo de operação não se caracterize como ação simples (single action) para realização de disparos; deve corresponder de 5 lbf a 15 lbf, conforme a normas internacionais.
2. Dispositivos de Segurança:
2.1. Sistema interno de travamento para o gatilho (segurança do gatilho) que impeça que o gatilho seja acionado por ação inercial ou acionamento involuntário, só ocorrendo disparo se o gatilho for corretamente acionado;
2.2. Segurança contra quedas (suportar queda ou choque, sem que ocorra desarme o acionamento involuntário do sistema de ação);
2.3. Preferencialmente com segurança do pino de disparo indireto;
2.4. Preferencialmente com bloqueio manual;
2.5. Sistema interno de bloqueio do percussor (trava do percussor): impedindo que o percussor atinja a espoleta, ao menos que a tecla do gatilho seja corretamente acionada, não devendo permitir qualquer marcação da espoleta quando do simples manejo do ferrolho, manuseio brusco ou queda da arma;
2.6. Não deverá possuir qualquer trava externa manual, exceto quando compuser o sistema de segurança do gatilho (trava de gatilho).
2.7. Indicador de cartucho na câmara (indicador de munição na câmera de fácil e nítida visualização);
2.8. Retém do carregador e do ferrolho ambidestros;
2.9. Possuir dispositivos de ajuste de empunhadura (backstrap ou outra solução mais moderna), em 03 (três) tamanhos diferentes (P, M e G);
2.10. Acabamento externo antirreflexo de alta resistência à abrasão, oxidações, agentes químicos, minerais e intempéries, na cor preta;
2.11. Cano e ferrolho em aço;
2.12. Punho e armação em polímero de alta resistência;
2.13. Mínimo de 03 (três) carregadores (um na arma e dois extras) com capacidade mínima de 15 munições/cartuchos, cada (Item 1.4).
2.14. Retém do ferrolho tipo ambidestro ou reversível, recartilhado ou texturizado
2.15. Retém do carregador tipo ambidestro ou reversível, recartilhado ou texturizado;
2.16. O armamento deve estar apto ao uso de munições nacionais e importadas dentro do calibre especificado e que atendam no mínimo às normas e padrões internacionais;
2.17. Deverá possuir acabamento de primeira linha, sem sinais de corrosão, imperfeições, rebarbas e/ou sobras de materiais, que evidenciem falta de qualidade no processo fabril, a fim de evitar ferimentos nos usuários, falhas de funcionamento e de procedimentos.
2.18. Na manutenção de primeiro escalão (montagem e desmontagem), inclusive de carregadores, deverá ser de fácil realização pelo usuário, sem o uso de ferramentas, exceto o uso de saca pino, bem como, sem a possibilidade de montagem equivocada de peças, assim no caso dessa possibilidade afetar a função e a segurança, a arma deve ser reprovada.
2.19. Deve possuir vareta de manutenção.
2.20. O kit completo deverá conter no mínimo os seguintes materiais: Pistola de porte calibre 9x19mm, 03 carregadores (um na arma de 02 reservas), vareta de manutenção, maleta para acondicionamento em polímero; 01 kit de empunhadura (backstrap ou similar) para ajuste do punho em conformidade com as especificações em 03 tamanhos distintos (P, M e G) e manual em português.
2.21. A empresa vencedora deverá entregar a arma brasonada e identificada e para tanto deverá gravar a seguinte inscrição no ferrolho: o Brasão da república seguido do Brasão da Polícia Judicial e da nomenclatura “TRE/BA”, conforme art. 7°, Portaria nº 213/2021 - COLOG/C Ex.
2.21.1. Inscrição - sigla do órgão (exemplo: TRE/BA)
2.21.2. Os Brasões e sigla deve possuir tamanho proporcional ao do ferrolho, conforme usualmente elaborado</v>
      </c>
      <c r="D3" s="25" t="str">
        <f>Item1!C3</f>
        <v>unidade</v>
      </c>
      <c r="E3" s="25">
        <f>Item1!D3</f>
        <v>13</v>
      </c>
      <c r="F3" s="26">
        <f>Item1!E3</f>
        <v>5364.09</v>
      </c>
      <c r="G3" s="26">
        <f>ROUND((E3*F3),2)</f>
        <v>69733.17</v>
      </c>
    </row>
    <row r="4" spans="1:7" ht="409.5" x14ac:dyDescent="0.25">
      <c r="A4" s="25" t="s">
        <v>59</v>
      </c>
      <c r="B4" s="25">
        <f>Item2!A3</f>
        <v>2</v>
      </c>
      <c r="C4" s="27" t="str">
        <f>Item2!B3</f>
        <v>Armamento de porte: Pistola 9x19mm (subcompacta), com carregadores reservas (Kit)
1. Especificações técnicas
1.1. Pistola, de porte, semi-automática, subcompacta;
1.2. Cor predominante: preta ou desert (coyote);
1.3. Calibre “9x19mm”;
1.4. Deverá vir acompanhada de no mínimo 03 (três) carregadores (um na arma e dois extras) com capacidade mínima de 12 munições/cartuchos, cada (Item 2.13);
1.5. Carcaça/punho em polímero com alças e alças intercambiáveis e texturizadas;
1.6. Trilho para acoplagem de acessórios, integrado ao frame (corpo da arma);
1.7. Cano dotado de estrias (raiamento), de sentido dextrógiro, com alma do tipo poligonal no eixo longitudinal (cantos arredondados), ou com sulcos tradicionais L&amp;G (canto vivo).
1.8. Comprimento do cano: Mínimo 80 mm e Máximo 90 mm;
1.9. Vida útil do cano de no mínimo 15.000 (quinze mil) disparos;
1.10. Comprimento máximo da arma 170 mm;
1.11. Comprimento mínimo da arma 160 mm;
1.12. Peso total da arma com carregador vazio: Mínimo 610 g e Máximo 620 g
1.13. Aparelho de Mira Fixa (pontaria) – Sistema triangular - alça / massa de mira - ou similar, com insertos de material auto luminescente (tritium) ou outra tecnologia superior disponível, com possibilidade de regulagem feita por armeiro; Para suportar uma aquisição de alvoconveniente e rápida os pontos circulares da alça e massa de mira devem ter pelo menos os diâmetros estandartes: massa da mira: mínimo de 1,9mm +/- 0,05mm; alça de mira: 1,9mm +/- 0,05mm.; as miras de tritio ou outra solução mais moderna devem ser desenhadas e produzidas de modo que a fonte luminosa de trítio ofereça pelo menos 10 anos de iluminação utilizável.
1.14. Sistema de funcionamento por Ação Striker Fire, sendo admitido o semitensionamento do percussor, desdeu que seu modo de operação não se caracterize como ação simples (single action) para realização de disparos; deve corresponder de 5 lbf a 15 lbf, conforme a normas internacionais.
2. Dispositivos de Segurança:
2.1. Sistema interno de travamento para o gatilho (segurança do gatilho) que impeça que o gatilho seja acionado por ação inercial ou acionamento involuntário, só ocorrendo disparo se o gatilho for corretamente acionado;
2.2. Segurança contra quedas (suportar queda ou choque, sem que ocorra desarme o acionamento involuntário do sistema de ação);
2.3. Preferencialmente com segurança do pino de disparo indireto;
2.4. Preferencialmente com bloqueio manual;
2.5. Sistema interno de bloqueio do percussor (trava do percussor): impedindo que o percussor atinja a espoleta, ao menos que a tecla do gatilho seja corretamente acionada, não devendo permitir qualquer marcação da espoleta quando do simples manejo do ferrolho, manuseio brusco ou queda da arma;
2.6. Poderá possuir qualquer trava externa manual, exceto quando compuser o sistema de segurança do gatilho (trava de gatilho).
2.7. Indicador de cartucho na câmara (indicador de munição na câmera de fácil e nítida visualização);
2.8. Retém do carregador e do ferrolho ambidestros;
2.9. Possuir dispositivos de ajuste de empunhadura (backstrap ou outra solução mais moderna), em 03 (três) tamanhos diferentes (P, M e G);
2.10. Acabamento externo antirreflexo de alta resistência à abrasão, oxidações, agentes químicos, minerais e intempéries, na cor preta;
2.11. Cano e ferrolho em aço;
2.12. Punho e armação em polímero de alta resistência;
2.13. Mínimo de 03 (três) carregadores (um na arma e dois extras) com capacidade mínima de 12 munições/cartuchos, cada (Item 1.4).
2.14. Retém do ferrolho tipo ambidestro ou reversível, recartilhado ou texturizado
2.15. Retém do carregador tipo ambidestro ou reversível, recartilhado ou texturizado;
2.16. O armamento deve estar apto ao uso de munições nacionais e importadas dentro do calibre especificado e que atendam no mínimo às normas e padrões internacionais;
2.17. Deverá possuir acabamento de primeira linha, sem sinais de corrosão, imperfeições, rebarbas e/ou sobras de materiais, que evidenciem falta de qualidade no processo fabril, a fim de evitar ferimentos nos usuários, falhas de funcionamento e de procedimentos.
2.18. Na manutenção de primeiro escalão (montagem e desmontagem), inclusive de carregadores, deverá ser de fácil realização pelo usuário, sem o uso de ferramentas, exceto o uso de saca pino, bem como, sem a possibilidade de montagem equivocada de peças, assim no caso dessa possibilidade afetar a função e a segurança, a arma deve ser reprovada.
2.19. Deve possuir vareta de manutenção.
2.20. O kit completo deverá conter no mínimo os seguintes materiais: Pistola de porte calibre 9x19mm, 03 carregadores (um na arma de 02 reservas), vareta de manutenção, maleta para acondicionamento em polímero; 01 kit de empunhadura (backstrap ou similar) para ajuste do punho em conformidade com as especificações em 03 tamanhos distintos (P, M e G) e manual em português.
2.21. A empresa vencedora deverá entregar a arma brasonada e identificada e para tanto deverá gravar a seguinte inscrição no ferrolho: o Brasão da república seguido do Brasão da Polícia Judicial e da nomenclatura “TRE/BA”, conforme art. 7°, Portaria nº 213/2021 - COLOG/C Ex.
2.21.1. Inscrição - sigla do órgão (exemplo: TRE/BA)
2.21.2. Os Brasões e sigla deve possuir tamanho proporcional ao do ferrolho, conforme usualmente elabor</v>
      </c>
      <c r="D4" s="25" t="str">
        <f>Item2!C3</f>
        <v>unidade</v>
      </c>
      <c r="E4" s="25">
        <f>Item2!D3</f>
        <v>2</v>
      </c>
      <c r="F4" s="26">
        <f>Item2!E3</f>
        <v>5850.83</v>
      </c>
      <c r="G4" s="26">
        <f t="shared" ref="G4" si="0">ROUND((E4*F4),2)</f>
        <v>11701.66</v>
      </c>
    </row>
    <row r="5" spans="1:7" x14ac:dyDescent="0.25">
      <c r="A5" s="28"/>
      <c r="B5" s="28"/>
      <c r="C5" s="29"/>
      <c r="D5" s="30"/>
      <c r="E5" s="30"/>
      <c r="F5" s="31"/>
      <c r="G5" s="31"/>
    </row>
    <row r="6" spans="1:7" ht="15.75" thickBot="1" x14ac:dyDescent="0.3"/>
    <row r="7" spans="1:7" ht="16.5" thickTop="1" thickBot="1" x14ac:dyDescent="0.3">
      <c r="D7" s="22"/>
      <c r="E7" s="23" t="s">
        <v>33</v>
      </c>
      <c r="F7" s="24">
        <f>SUM(G:G)</f>
        <v>81434.83</v>
      </c>
    </row>
    <row r="8" spans="1:7" ht="15.75" thickTop="1" x14ac:dyDescent="0.25">
      <c r="F8" s="3"/>
    </row>
    <row r="9" spans="1:7" x14ac:dyDescent="0.25">
      <c r="D9" s="21" t="s">
        <v>32</v>
      </c>
      <c r="E9" s="13">
        <f>MAX(A:A)</f>
        <v>0</v>
      </c>
    </row>
    <row r="11" spans="1:7" x14ac:dyDescent="0.25">
      <c r="D11" s="18" t="s">
        <v>31</v>
      </c>
      <c r="E11" s="19">
        <v>1</v>
      </c>
      <c r="F11" s="20">
        <f>SUMIF(A:A,E11,G:G)</f>
        <v>0</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34</v>
      </c>
      <c r="C3" s="36" t="s">
        <v>7</v>
      </c>
      <c r="D3" s="36">
        <v>6</v>
      </c>
      <c r="E3" s="37">
        <f>IF(C20&lt;=25%,D20,MIN(E20:F20))</f>
        <v>296.49</v>
      </c>
      <c r="F3" s="37">
        <f>MIN(H3:H17)</f>
        <v>171.07</v>
      </c>
      <c r="G3" s="5" t="s">
        <v>63</v>
      </c>
      <c r="H3" s="16">
        <v>235.1</v>
      </c>
      <c r="I3" s="17">
        <f>IF(H3="","",(IF($C$20&lt;25%,"n/a",IF(H3&lt;=($D$20+$A$20),H3,"Descartado"))))</f>
        <v>235.1</v>
      </c>
    </row>
    <row r="4" spans="1:9" x14ac:dyDescent="0.25">
      <c r="A4" s="38"/>
      <c r="B4" s="35"/>
      <c r="C4" s="36"/>
      <c r="D4" s="36"/>
      <c r="E4" s="37"/>
      <c r="F4" s="37"/>
      <c r="G4" s="5" t="s">
        <v>64</v>
      </c>
      <c r="H4" s="16">
        <v>247.6</v>
      </c>
      <c r="I4" s="17">
        <f t="shared" ref="I4:I17" si="0">IF(H4="","",(IF($C$20&lt;25%,"n/a",IF(H4&lt;=($D$20+$A$20),H4,"Descartado"))))</f>
        <v>247.6</v>
      </c>
    </row>
    <row r="5" spans="1:9" x14ac:dyDescent="0.25">
      <c r="A5" s="38"/>
      <c r="B5" s="35"/>
      <c r="C5" s="36"/>
      <c r="D5" s="36"/>
      <c r="E5" s="37"/>
      <c r="F5" s="37"/>
      <c r="G5" s="5" t="s">
        <v>65</v>
      </c>
      <c r="H5" s="16">
        <v>541</v>
      </c>
      <c r="I5" s="17">
        <f t="shared" si="0"/>
        <v>541</v>
      </c>
    </row>
    <row r="6" spans="1:9" x14ac:dyDescent="0.25">
      <c r="A6" s="38"/>
      <c r="B6" s="35"/>
      <c r="C6" s="36"/>
      <c r="D6" s="36"/>
      <c r="E6" s="37"/>
      <c r="F6" s="37"/>
      <c r="G6" s="5" t="s">
        <v>66</v>
      </c>
      <c r="H6" s="16">
        <v>171.07</v>
      </c>
      <c r="I6" s="17">
        <f t="shared" si="0"/>
        <v>171.07</v>
      </c>
    </row>
    <row r="7" spans="1:9" x14ac:dyDescent="0.25">
      <c r="A7" s="38"/>
      <c r="B7" s="35"/>
      <c r="C7" s="36"/>
      <c r="D7" s="36"/>
      <c r="E7" s="37"/>
      <c r="F7" s="37"/>
      <c r="G7" s="5" t="s">
        <v>67</v>
      </c>
      <c r="H7" s="16">
        <v>1000</v>
      </c>
      <c r="I7" s="17" t="str">
        <f t="shared" si="0"/>
        <v>Descartado</v>
      </c>
    </row>
    <row r="8" spans="1:9" x14ac:dyDescent="0.25">
      <c r="A8" s="38"/>
      <c r="B8" s="35"/>
      <c r="C8" s="36"/>
      <c r="D8" s="36"/>
      <c r="E8" s="37"/>
      <c r="F8" s="37"/>
      <c r="G8" s="5" t="s">
        <v>68</v>
      </c>
      <c r="H8" s="16">
        <v>176.78</v>
      </c>
      <c r="I8" s="17">
        <f t="shared" si="0"/>
        <v>176.78</v>
      </c>
    </row>
    <row r="9" spans="1:9" x14ac:dyDescent="0.25">
      <c r="A9" s="38"/>
      <c r="B9" s="35"/>
      <c r="C9" s="36"/>
      <c r="D9" s="36"/>
      <c r="E9" s="37"/>
      <c r="F9" s="37"/>
      <c r="G9" s="5" t="s">
        <v>167</v>
      </c>
      <c r="H9" s="16">
        <v>407.38</v>
      </c>
      <c r="I9" s="17">
        <f t="shared" si="0"/>
        <v>407.38</v>
      </c>
    </row>
    <row r="10" spans="1:9" x14ac:dyDescent="0.25">
      <c r="A10" s="38"/>
      <c r="B10" s="35"/>
      <c r="C10" s="36"/>
      <c r="D10" s="36"/>
      <c r="E10" s="37"/>
      <c r="F10" s="37"/>
      <c r="G10" s="5" t="s">
        <v>165</v>
      </c>
      <c r="H10" s="16">
        <v>884</v>
      </c>
      <c r="I10" s="17" t="str">
        <f t="shared" si="0"/>
        <v>Descartado</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35</v>
      </c>
      <c r="C3" s="36" t="s">
        <v>7</v>
      </c>
      <c r="D3" s="36">
        <v>2</v>
      </c>
      <c r="E3" s="37">
        <f>IF(C20&lt;=25%,D20,MIN(E20:F20))</f>
        <v>1386.39</v>
      </c>
      <c r="F3" s="37">
        <f>MIN(H3:H17)</f>
        <v>800</v>
      </c>
      <c r="G3" s="5" t="s">
        <v>69</v>
      </c>
      <c r="H3" s="16">
        <v>940</v>
      </c>
      <c r="I3" s="17">
        <f>IF(H3="","",(IF($C$20&lt;25%,"n/a",IF(H3&lt;=($D$20+$A$20),H3,"Descartado"))))</f>
        <v>940</v>
      </c>
    </row>
    <row r="4" spans="1:9" x14ac:dyDescent="0.25">
      <c r="A4" s="38"/>
      <c r="B4" s="35"/>
      <c r="C4" s="36"/>
      <c r="D4" s="36"/>
      <c r="E4" s="37"/>
      <c r="F4" s="37"/>
      <c r="G4" s="5" t="s">
        <v>70</v>
      </c>
      <c r="H4" s="16">
        <v>2144.34</v>
      </c>
      <c r="I4" s="17">
        <f t="shared" ref="I4:I17" si="0">IF(H4="","",(IF($C$20&lt;25%,"n/a",IF(H4&lt;=($D$20+$A$20),H4,"Descartado"))))</f>
        <v>2144.34</v>
      </c>
    </row>
    <row r="5" spans="1:9" x14ac:dyDescent="0.25">
      <c r="A5" s="38"/>
      <c r="B5" s="35"/>
      <c r="C5" s="36"/>
      <c r="D5" s="36"/>
      <c r="E5" s="37"/>
      <c r="F5" s="37"/>
      <c r="G5" s="5" t="s">
        <v>71</v>
      </c>
      <c r="H5" s="16">
        <v>925</v>
      </c>
      <c r="I5" s="17">
        <f t="shared" si="0"/>
        <v>925</v>
      </c>
    </row>
    <row r="6" spans="1:9" x14ac:dyDescent="0.25">
      <c r="A6" s="38"/>
      <c r="B6" s="35"/>
      <c r="C6" s="36"/>
      <c r="D6" s="36"/>
      <c r="E6" s="37"/>
      <c r="F6" s="37"/>
      <c r="G6" s="5" t="s">
        <v>72</v>
      </c>
      <c r="H6" s="16">
        <v>4280.84</v>
      </c>
      <c r="I6" s="17" t="str">
        <f t="shared" si="0"/>
        <v>Descartado</v>
      </c>
    </row>
    <row r="7" spans="1:9" x14ac:dyDescent="0.25">
      <c r="A7" s="38"/>
      <c r="B7" s="35"/>
      <c r="C7" s="36"/>
      <c r="D7" s="36"/>
      <c r="E7" s="37"/>
      <c r="F7" s="37"/>
      <c r="G7" s="5" t="s">
        <v>63</v>
      </c>
      <c r="H7" s="16">
        <v>1402</v>
      </c>
      <c r="I7" s="17">
        <f t="shared" si="0"/>
        <v>1402</v>
      </c>
    </row>
    <row r="8" spans="1:9" x14ac:dyDescent="0.25">
      <c r="A8" s="38"/>
      <c r="B8" s="35"/>
      <c r="C8" s="36"/>
      <c r="D8" s="36"/>
      <c r="E8" s="37"/>
      <c r="F8" s="37"/>
      <c r="G8" s="5" t="s">
        <v>73</v>
      </c>
      <c r="H8" s="16">
        <v>2100</v>
      </c>
      <c r="I8" s="17">
        <f t="shared" si="0"/>
        <v>2100</v>
      </c>
    </row>
    <row r="9" spans="1:9" x14ac:dyDescent="0.25">
      <c r="A9" s="38"/>
      <c r="B9" s="35"/>
      <c r="C9" s="36"/>
      <c r="D9" s="36"/>
      <c r="E9" s="37"/>
      <c r="F9" s="37"/>
      <c r="G9" s="5" t="s">
        <v>74</v>
      </c>
      <c r="H9" s="16">
        <v>3777</v>
      </c>
      <c r="I9" s="17" t="str">
        <f t="shared" si="0"/>
        <v>Descartado</v>
      </c>
    </row>
    <row r="10" spans="1:9" x14ac:dyDescent="0.25">
      <c r="A10" s="38"/>
      <c r="B10" s="35"/>
      <c r="C10" s="36"/>
      <c r="D10" s="36"/>
      <c r="E10" s="37"/>
      <c r="F10" s="37"/>
      <c r="G10" s="5" t="s">
        <v>60</v>
      </c>
      <c r="H10" s="16">
        <v>1375</v>
      </c>
      <c r="I10" s="17">
        <f t="shared" si="0"/>
        <v>1375</v>
      </c>
    </row>
    <row r="11" spans="1:9" x14ac:dyDescent="0.25">
      <c r="A11" s="38"/>
      <c r="B11" s="35"/>
      <c r="C11" s="36"/>
      <c r="D11" s="36"/>
      <c r="E11" s="37"/>
      <c r="F11" s="37"/>
      <c r="G11" s="5" t="s">
        <v>75</v>
      </c>
      <c r="H11" s="16">
        <v>1999</v>
      </c>
      <c r="I11" s="17">
        <f t="shared" si="0"/>
        <v>1999</v>
      </c>
    </row>
    <row r="12" spans="1:9" x14ac:dyDescent="0.25">
      <c r="A12" s="38"/>
      <c r="B12" s="35"/>
      <c r="C12" s="36"/>
      <c r="D12" s="36"/>
      <c r="E12" s="37"/>
      <c r="F12" s="37"/>
      <c r="G12" s="5" t="s">
        <v>76</v>
      </c>
      <c r="H12" s="16">
        <v>877.55</v>
      </c>
      <c r="I12" s="17">
        <f t="shared" si="0"/>
        <v>877.55</v>
      </c>
    </row>
    <row r="13" spans="1:9" x14ac:dyDescent="0.25">
      <c r="A13" s="38"/>
      <c r="B13" s="35"/>
      <c r="C13" s="36"/>
      <c r="D13" s="36"/>
      <c r="E13" s="37"/>
      <c r="F13" s="37"/>
      <c r="G13" s="5" t="s">
        <v>169</v>
      </c>
      <c r="H13" s="16">
        <v>1301.05</v>
      </c>
      <c r="I13" s="17">
        <f t="shared" si="0"/>
        <v>1301.05</v>
      </c>
    </row>
    <row r="14" spans="1:9" x14ac:dyDescent="0.25">
      <c r="A14" s="38"/>
      <c r="B14" s="35"/>
      <c r="C14" s="36"/>
      <c r="D14" s="36"/>
      <c r="E14" s="37"/>
      <c r="F14" s="37"/>
      <c r="G14" s="5" t="s">
        <v>166</v>
      </c>
      <c r="H14" s="16">
        <v>800</v>
      </c>
      <c r="I14" s="17">
        <f t="shared" si="0"/>
        <v>800</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36</v>
      </c>
      <c r="C3" s="36" t="s">
        <v>7</v>
      </c>
      <c r="D3" s="36">
        <v>1</v>
      </c>
      <c r="E3" s="37">
        <f>IF(C20&lt;=25%,D20,MIN(E20:F20))</f>
        <v>7540.83</v>
      </c>
      <c r="F3" s="37">
        <f>MIN(H3:H17)</f>
        <v>1172.6600000000001</v>
      </c>
      <c r="G3" s="5" t="s">
        <v>77</v>
      </c>
      <c r="H3" s="16">
        <v>9050</v>
      </c>
      <c r="I3" s="17">
        <f>IF(H3="","",(IF($C$20&lt;25%,"n/a",IF(H3&lt;=($D$20+$A$20),H3,"Descartado"))))</f>
        <v>9050</v>
      </c>
    </row>
    <row r="4" spans="1:9" x14ac:dyDescent="0.25">
      <c r="A4" s="38"/>
      <c r="B4" s="35"/>
      <c r="C4" s="36"/>
      <c r="D4" s="36"/>
      <c r="E4" s="37"/>
      <c r="F4" s="37"/>
      <c r="G4" s="5" t="s">
        <v>63</v>
      </c>
      <c r="H4" s="16">
        <v>5737.44</v>
      </c>
      <c r="I4" s="17">
        <f t="shared" ref="I4:I17" si="0">IF(H4="","",(IF($C$20&lt;25%,"n/a",IF(H4&lt;=($D$20+$A$20),H4,"Descartado"))))</f>
        <v>5737.44</v>
      </c>
    </row>
    <row r="5" spans="1:9" x14ac:dyDescent="0.25">
      <c r="A5" s="38"/>
      <c r="B5" s="35"/>
      <c r="C5" s="36"/>
      <c r="D5" s="36"/>
      <c r="E5" s="37"/>
      <c r="F5" s="37"/>
      <c r="G5" s="5" t="s">
        <v>78</v>
      </c>
      <c r="H5" s="16">
        <v>1172.6600000000001</v>
      </c>
      <c r="I5" s="17">
        <f t="shared" si="0"/>
        <v>1172.6600000000001</v>
      </c>
    </row>
    <row r="6" spans="1:9" x14ac:dyDescent="0.25">
      <c r="A6" s="38"/>
      <c r="B6" s="35"/>
      <c r="C6" s="36"/>
      <c r="D6" s="36"/>
      <c r="E6" s="37"/>
      <c r="F6" s="37"/>
      <c r="G6" s="5" t="s">
        <v>71</v>
      </c>
      <c r="H6" s="16">
        <v>3900</v>
      </c>
      <c r="I6" s="17">
        <f t="shared" si="0"/>
        <v>3900</v>
      </c>
    </row>
    <row r="7" spans="1:9" x14ac:dyDescent="0.25">
      <c r="A7" s="38"/>
      <c r="B7" s="35"/>
      <c r="C7" s="36"/>
      <c r="D7" s="36"/>
      <c r="E7" s="37"/>
      <c r="F7" s="37"/>
      <c r="G7" s="5" t="s">
        <v>65</v>
      </c>
      <c r="H7" s="16">
        <v>7969</v>
      </c>
      <c r="I7" s="17">
        <f t="shared" si="0"/>
        <v>7969</v>
      </c>
    </row>
    <row r="8" spans="1:9" x14ac:dyDescent="0.25">
      <c r="A8" s="38"/>
      <c r="B8" s="35"/>
      <c r="C8" s="36"/>
      <c r="D8" s="36"/>
      <c r="E8" s="37"/>
      <c r="F8" s="37"/>
      <c r="G8" s="5" t="s">
        <v>79</v>
      </c>
      <c r="H8" s="16">
        <v>7680</v>
      </c>
      <c r="I8" s="17">
        <f t="shared" si="0"/>
        <v>7680</v>
      </c>
    </row>
    <row r="9" spans="1:9" x14ac:dyDescent="0.25">
      <c r="A9" s="38"/>
      <c r="B9" s="35"/>
      <c r="C9" s="36"/>
      <c r="D9" s="36"/>
      <c r="E9" s="37"/>
      <c r="F9" s="37"/>
      <c r="G9" s="5" t="s">
        <v>80</v>
      </c>
      <c r="H9" s="16">
        <v>10150</v>
      </c>
      <c r="I9" s="17">
        <f t="shared" si="0"/>
        <v>10150</v>
      </c>
    </row>
    <row r="10" spans="1:9" x14ac:dyDescent="0.25">
      <c r="A10" s="38"/>
      <c r="B10" s="35"/>
      <c r="C10" s="36"/>
      <c r="D10" s="36"/>
      <c r="E10" s="37"/>
      <c r="F10" s="37"/>
      <c r="G10" s="5" t="s">
        <v>81</v>
      </c>
      <c r="H10" s="16">
        <v>10040</v>
      </c>
      <c r="I10" s="17">
        <f t="shared" si="0"/>
        <v>10040</v>
      </c>
    </row>
    <row r="11" spans="1:9" x14ac:dyDescent="0.25">
      <c r="A11" s="38"/>
      <c r="B11" s="35"/>
      <c r="C11" s="36"/>
      <c r="D11" s="36"/>
      <c r="E11" s="37"/>
      <c r="F11" s="37"/>
      <c r="G11" s="5" t="s">
        <v>62</v>
      </c>
      <c r="H11" s="16">
        <v>10600</v>
      </c>
      <c r="I11" s="17">
        <f t="shared" si="0"/>
        <v>10600</v>
      </c>
    </row>
    <row r="12" spans="1:9" x14ac:dyDescent="0.25">
      <c r="A12" s="38"/>
      <c r="B12" s="35"/>
      <c r="C12" s="36"/>
      <c r="D12" s="36"/>
      <c r="E12" s="37"/>
      <c r="F12" s="37"/>
      <c r="G12" s="5" t="s">
        <v>61</v>
      </c>
      <c r="H12" s="16">
        <v>8000</v>
      </c>
      <c r="I12" s="17">
        <f t="shared" si="0"/>
        <v>8000</v>
      </c>
    </row>
    <row r="13" spans="1:9" x14ac:dyDescent="0.25">
      <c r="A13" s="38"/>
      <c r="B13" s="35"/>
      <c r="C13" s="36"/>
      <c r="D13" s="36"/>
      <c r="E13" s="37"/>
      <c r="F13" s="37"/>
      <c r="G13" s="5" t="s">
        <v>82</v>
      </c>
      <c r="H13" s="16">
        <v>14086.4</v>
      </c>
      <c r="I13" s="17" t="str">
        <f t="shared" si="0"/>
        <v>Descartado</v>
      </c>
    </row>
    <row r="14" spans="1:9" x14ac:dyDescent="0.25">
      <c r="A14" s="38"/>
      <c r="B14" s="35"/>
      <c r="C14" s="36"/>
      <c r="D14" s="36"/>
      <c r="E14" s="37"/>
      <c r="F14" s="37"/>
      <c r="G14" s="5" t="s">
        <v>83</v>
      </c>
      <c r="H14" s="16">
        <v>8650</v>
      </c>
      <c r="I14" s="17">
        <f t="shared" si="0"/>
        <v>8650</v>
      </c>
    </row>
    <row r="15" spans="1:9" x14ac:dyDescent="0.25">
      <c r="A15" s="38"/>
      <c r="B15" s="35"/>
      <c r="C15" s="36"/>
      <c r="D15" s="36"/>
      <c r="E15" s="37"/>
      <c r="F15" s="37"/>
      <c r="G15" s="5" t="s">
        <v>165</v>
      </c>
      <c r="H15" s="16">
        <v>12399</v>
      </c>
      <c r="I15" s="17" t="str">
        <f t="shared" si="0"/>
        <v>Descartado</v>
      </c>
    </row>
    <row r="16" spans="1:9" x14ac:dyDescent="0.25">
      <c r="A16" s="38"/>
      <c r="B16" s="35"/>
      <c r="C16" s="36"/>
      <c r="D16" s="36"/>
      <c r="E16" s="37"/>
      <c r="F16" s="37"/>
      <c r="G16" s="5" t="s">
        <v>170</v>
      </c>
      <c r="H16" s="16">
        <v>12624</v>
      </c>
      <c r="I16" s="17" t="str">
        <f t="shared" si="0"/>
        <v>Descartado</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37</v>
      </c>
      <c r="C3" s="36" t="s">
        <v>7</v>
      </c>
      <c r="D3" s="36">
        <v>2</v>
      </c>
      <c r="E3" s="37">
        <f>IF(C20&lt;=25%,D20,MIN(E20:F20))</f>
        <v>1062.4100000000001</v>
      </c>
      <c r="F3" s="37">
        <f>MIN(H3:H17)</f>
        <v>749</v>
      </c>
      <c r="G3" s="5" t="s">
        <v>75</v>
      </c>
      <c r="H3" s="16">
        <v>749</v>
      </c>
      <c r="I3" s="17">
        <f>IF(H3="","",(IF($C$20&lt;25%,"n/a",IF(H3&lt;=($D$20+$A$20),H3,"Descartado"))))</f>
        <v>749</v>
      </c>
    </row>
    <row r="4" spans="1:9" x14ac:dyDescent="0.25">
      <c r="A4" s="38"/>
      <c r="B4" s="35"/>
      <c r="C4" s="36"/>
      <c r="D4" s="36"/>
      <c r="E4" s="37"/>
      <c r="F4" s="37"/>
      <c r="G4" s="5" t="s">
        <v>167</v>
      </c>
      <c r="H4" s="16">
        <v>1539.22</v>
      </c>
      <c r="I4" s="17">
        <f t="shared" ref="I4:I17" si="0">IF(H4="","",(IF($C$20&lt;25%,"n/a",IF(H4&lt;=($D$20+$A$20),H4,"Descartado"))))</f>
        <v>1539.22</v>
      </c>
    </row>
    <row r="5" spans="1:9" x14ac:dyDescent="0.25">
      <c r="A5" s="38"/>
      <c r="B5" s="35"/>
      <c r="C5" s="36"/>
      <c r="D5" s="36"/>
      <c r="E5" s="37"/>
      <c r="F5" s="37"/>
      <c r="G5" s="5" t="s">
        <v>165</v>
      </c>
      <c r="H5" s="16">
        <v>899</v>
      </c>
      <c r="I5" s="17">
        <f t="shared" si="0"/>
        <v>899</v>
      </c>
    </row>
    <row r="6" spans="1:9" x14ac:dyDescent="0.25">
      <c r="A6" s="38"/>
      <c r="B6" s="35"/>
      <c r="C6" s="36"/>
      <c r="D6" s="36"/>
      <c r="E6" s="37"/>
      <c r="F6" s="37"/>
      <c r="G6" s="5" t="s">
        <v>168</v>
      </c>
      <c r="H6" s="16">
        <v>2178.21</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38</v>
      </c>
      <c r="C3" s="36" t="s">
        <v>7</v>
      </c>
      <c r="D3" s="36">
        <v>2</v>
      </c>
      <c r="E3" s="37">
        <f>IF(C20&lt;=25%,D20,MIN(E20:F20))</f>
        <v>232.66</v>
      </c>
      <c r="F3" s="37">
        <f>MIN(H3:H17)</f>
        <v>188</v>
      </c>
      <c r="G3" s="5" t="s">
        <v>62</v>
      </c>
      <c r="H3" s="16">
        <v>188</v>
      </c>
      <c r="I3" s="17">
        <f>IF(H3="","",(IF($C$20&lt;25%,"n/a",IF(H3&lt;=($D$20+$A$20),H3,"Descartado"))))</f>
        <v>188</v>
      </c>
    </row>
    <row r="4" spans="1:9" x14ac:dyDescent="0.25">
      <c r="A4" s="38"/>
      <c r="B4" s="35"/>
      <c r="C4" s="36"/>
      <c r="D4" s="36"/>
      <c r="E4" s="37"/>
      <c r="F4" s="37"/>
      <c r="G4" s="5" t="s">
        <v>84</v>
      </c>
      <c r="H4" s="16">
        <v>360</v>
      </c>
      <c r="I4" s="17" t="str">
        <f t="shared" ref="I4:I17" si="0">IF(H4="","",(IF($C$20&lt;25%,"n/a",IF(H4&lt;=($D$20+$A$20),H4,"Descartado"))))</f>
        <v>Descartado</v>
      </c>
    </row>
    <row r="5" spans="1:9" x14ac:dyDescent="0.25">
      <c r="A5" s="38"/>
      <c r="B5" s="35"/>
      <c r="C5" s="36"/>
      <c r="D5" s="36"/>
      <c r="E5" s="37"/>
      <c r="F5" s="37"/>
      <c r="G5" s="5" t="s">
        <v>85</v>
      </c>
      <c r="H5" s="16">
        <v>280</v>
      </c>
      <c r="I5" s="17">
        <f t="shared" si="0"/>
        <v>280</v>
      </c>
    </row>
    <row r="6" spans="1:9" x14ac:dyDescent="0.25">
      <c r="A6" s="38"/>
      <c r="B6" s="35"/>
      <c r="C6" s="36"/>
      <c r="D6" s="36"/>
      <c r="E6" s="37"/>
      <c r="F6" s="37"/>
      <c r="G6" s="5" t="s">
        <v>168</v>
      </c>
      <c r="H6" s="16">
        <v>229.99</v>
      </c>
      <c r="I6" s="17">
        <f t="shared" si="0"/>
        <v>229.99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39</v>
      </c>
      <c r="C3" s="36" t="s">
        <v>7</v>
      </c>
      <c r="D3" s="36">
        <v>1</v>
      </c>
      <c r="E3" s="37">
        <f>IF(C20&lt;=25%,D20,MIN(E20:F20))</f>
        <v>1797.62</v>
      </c>
      <c r="F3" s="37">
        <f>MIN(H3:H17)</f>
        <v>514</v>
      </c>
      <c r="G3" s="5" t="s">
        <v>86</v>
      </c>
      <c r="H3" s="16">
        <v>1463.54</v>
      </c>
      <c r="I3" s="17">
        <f>IF(H3="","",(IF($C$20&lt;25%,"n/a",IF(H3&lt;=($D$20+$A$20),H3,"Descartado"))))</f>
        <v>1463.54</v>
      </c>
    </row>
    <row r="4" spans="1:9" x14ac:dyDescent="0.25">
      <c r="A4" s="38"/>
      <c r="B4" s="35"/>
      <c r="C4" s="36"/>
      <c r="D4" s="36"/>
      <c r="E4" s="37"/>
      <c r="F4" s="37"/>
      <c r="G4" s="5" t="s">
        <v>87</v>
      </c>
      <c r="H4" s="16">
        <v>514</v>
      </c>
      <c r="I4" s="17">
        <f t="shared" ref="I4:I17" si="0">IF(H4="","",(IF($C$20&lt;25%,"n/a",IF(H4&lt;=($D$20+$A$20),H4,"Descartado"))))</f>
        <v>514</v>
      </c>
    </row>
    <row r="5" spans="1:9" x14ac:dyDescent="0.25">
      <c r="A5" s="38"/>
      <c r="B5" s="35"/>
      <c r="C5" s="36"/>
      <c r="D5" s="36"/>
      <c r="E5" s="37"/>
      <c r="F5" s="37"/>
      <c r="G5" s="5" t="s">
        <v>88</v>
      </c>
      <c r="H5" s="16">
        <v>2565.66</v>
      </c>
      <c r="I5" s="17">
        <f t="shared" si="0"/>
        <v>2565.66</v>
      </c>
    </row>
    <row r="6" spans="1:9" x14ac:dyDescent="0.25">
      <c r="A6" s="38"/>
      <c r="B6" s="35"/>
      <c r="C6" s="36"/>
      <c r="D6" s="36"/>
      <c r="E6" s="37"/>
      <c r="F6" s="37"/>
      <c r="G6" s="5" t="s">
        <v>89</v>
      </c>
      <c r="H6" s="16">
        <v>790</v>
      </c>
      <c r="I6" s="17">
        <f t="shared" si="0"/>
        <v>790</v>
      </c>
    </row>
    <row r="7" spans="1:9" x14ac:dyDescent="0.25">
      <c r="A7" s="38"/>
      <c r="B7" s="35"/>
      <c r="C7" s="36"/>
      <c r="D7" s="36"/>
      <c r="E7" s="37"/>
      <c r="F7" s="37"/>
      <c r="G7" s="5" t="s">
        <v>90</v>
      </c>
      <c r="H7" s="16">
        <v>4858</v>
      </c>
      <c r="I7" s="17" t="str">
        <f t="shared" si="0"/>
        <v>Descartado</v>
      </c>
    </row>
    <row r="8" spans="1:9" x14ac:dyDescent="0.25">
      <c r="A8" s="38"/>
      <c r="B8" s="35"/>
      <c r="C8" s="36"/>
      <c r="D8" s="36"/>
      <c r="E8" s="37"/>
      <c r="F8" s="37"/>
      <c r="G8" s="5" t="s">
        <v>91</v>
      </c>
      <c r="H8" s="16">
        <v>4932</v>
      </c>
      <c r="I8" s="17" t="str">
        <f t="shared" si="0"/>
        <v>Descartado</v>
      </c>
    </row>
    <row r="9" spans="1:9" x14ac:dyDescent="0.25">
      <c r="A9" s="38"/>
      <c r="B9" s="35"/>
      <c r="C9" s="36"/>
      <c r="D9" s="36"/>
      <c r="E9" s="37"/>
      <c r="F9" s="37"/>
      <c r="G9" s="5" t="s">
        <v>92</v>
      </c>
      <c r="H9" s="16">
        <v>1970</v>
      </c>
      <c r="I9" s="17">
        <f t="shared" si="0"/>
        <v>1970</v>
      </c>
    </row>
    <row r="10" spans="1:9" x14ac:dyDescent="0.25">
      <c r="A10" s="38"/>
      <c r="B10" s="35"/>
      <c r="C10" s="36"/>
      <c r="D10" s="36"/>
      <c r="E10" s="37"/>
      <c r="F10" s="37"/>
      <c r="G10" s="5" t="s">
        <v>93</v>
      </c>
      <c r="H10" s="16">
        <v>3137</v>
      </c>
      <c r="I10" s="17">
        <f t="shared" si="0"/>
        <v>3137</v>
      </c>
    </row>
    <row r="11" spans="1:9" x14ac:dyDescent="0.25">
      <c r="A11" s="38"/>
      <c r="B11" s="35"/>
      <c r="C11" s="36"/>
      <c r="D11" s="36"/>
      <c r="E11" s="37"/>
      <c r="F11" s="37"/>
      <c r="G11" s="5" t="s">
        <v>94</v>
      </c>
      <c r="H11" s="16">
        <v>1990</v>
      </c>
      <c r="I11" s="17">
        <f t="shared" si="0"/>
        <v>1990</v>
      </c>
    </row>
    <row r="12" spans="1:9" x14ac:dyDescent="0.25">
      <c r="A12" s="38"/>
      <c r="B12" s="35"/>
      <c r="C12" s="36"/>
      <c r="D12" s="36"/>
      <c r="E12" s="37"/>
      <c r="F12" s="37"/>
      <c r="G12" s="5" t="s">
        <v>168</v>
      </c>
      <c r="H12" s="16">
        <v>1950.72</v>
      </c>
      <c r="I12" s="17">
        <f t="shared" si="0"/>
        <v>1950.72</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40</v>
      </c>
      <c r="C3" s="36" t="s">
        <v>7</v>
      </c>
      <c r="D3" s="36">
        <v>4</v>
      </c>
      <c r="E3" s="37">
        <f>IF(C20&lt;=25%,D20,MIN(E20:F20))</f>
        <v>684.5</v>
      </c>
      <c r="F3" s="37">
        <f>MIN(H3:H17)</f>
        <v>110</v>
      </c>
      <c r="G3" s="5" t="s">
        <v>95</v>
      </c>
      <c r="H3" s="16">
        <v>699</v>
      </c>
      <c r="I3" s="17">
        <f>IF(H3="","",(IF($C$20&lt;25%,"n/a",IF(H3&lt;=($D$20+$A$20),H3,"Descartado"))))</f>
        <v>699</v>
      </c>
    </row>
    <row r="4" spans="1:9" x14ac:dyDescent="0.25">
      <c r="A4" s="38"/>
      <c r="B4" s="35"/>
      <c r="C4" s="36"/>
      <c r="D4" s="36"/>
      <c r="E4" s="37"/>
      <c r="F4" s="37"/>
      <c r="G4" s="5" t="s">
        <v>96</v>
      </c>
      <c r="H4" s="16">
        <v>238.76</v>
      </c>
      <c r="I4" s="17">
        <f t="shared" ref="I4:I17" si="0">IF(H4="","",(IF($C$20&lt;25%,"n/a",IF(H4&lt;=($D$20+$A$20),H4,"Descartado"))))</f>
        <v>238.76</v>
      </c>
    </row>
    <row r="5" spans="1:9" x14ac:dyDescent="0.25">
      <c r="A5" s="38"/>
      <c r="B5" s="35"/>
      <c r="C5" s="36"/>
      <c r="D5" s="36"/>
      <c r="E5" s="37"/>
      <c r="F5" s="37"/>
      <c r="G5" s="5" t="s">
        <v>97</v>
      </c>
      <c r="H5" s="16">
        <v>595</v>
      </c>
      <c r="I5" s="17">
        <f t="shared" si="0"/>
        <v>595</v>
      </c>
    </row>
    <row r="6" spans="1:9" x14ac:dyDescent="0.25">
      <c r="A6" s="38"/>
      <c r="B6" s="35"/>
      <c r="C6" s="36"/>
      <c r="D6" s="36"/>
      <c r="E6" s="37"/>
      <c r="F6" s="37"/>
      <c r="G6" s="5" t="s">
        <v>98</v>
      </c>
      <c r="H6" s="16">
        <v>110</v>
      </c>
      <c r="I6" s="17">
        <f t="shared" si="0"/>
        <v>110</v>
      </c>
    </row>
    <row r="7" spans="1:9" x14ac:dyDescent="0.25">
      <c r="A7" s="38"/>
      <c r="B7" s="35"/>
      <c r="C7" s="36"/>
      <c r="D7" s="36"/>
      <c r="E7" s="37"/>
      <c r="F7" s="37"/>
      <c r="G7" s="5" t="s">
        <v>99</v>
      </c>
      <c r="H7" s="16">
        <v>1064.26</v>
      </c>
      <c r="I7" s="17">
        <f t="shared" si="0"/>
        <v>1064.26</v>
      </c>
    </row>
    <row r="8" spans="1:9" x14ac:dyDescent="0.25">
      <c r="A8" s="38"/>
      <c r="B8" s="35"/>
      <c r="C8" s="36"/>
      <c r="D8" s="36"/>
      <c r="E8" s="37"/>
      <c r="F8" s="37"/>
      <c r="G8" s="5" t="s">
        <v>171</v>
      </c>
      <c r="H8" s="16">
        <v>1400</v>
      </c>
      <c r="I8" s="17">
        <f t="shared" si="0"/>
        <v>1400</v>
      </c>
    </row>
    <row r="9" spans="1:9" x14ac:dyDescent="0.25">
      <c r="A9" s="38"/>
      <c r="B9" s="35"/>
      <c r="C9" s="36"/>
      <c r="D9" s="36"/>
      <c r="E9" s="37"/>
      <c r="F9" s="37"/>
      <c r="G9" s="5" t="s">
        <v>172</v>
      </c>
      <c r="H9" s="16">
        <v>5751</v>
      </c>
      <c r="I9" s="17" t="str">
        <f t="shared" si="0"/>
        <v>Descartado</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Arthur Ribeiro Rocha</cp:lastModifiedBy>
  <cp:lastPrinted>2024-01-17T18:55:53Z</cp:lastPrinted>
  <dcterms:created xsi:type="dcterms:W3CDTF">2023-11-07T17:10:34Z</dcterms:created>
  <dcterms:modified xsi:type="dcterms:W3CDTF">2025-12-12T11:24:12Z</dcterms:modified>
</cp:coreProperties>
</file>